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ES TRAVAUX PUBLICS 2026\2026\"/>
    </mc:Choice>
  </mc:AlternateContent>
  <xr:revisionPtr revIDLastSave="0" documentId="13_ncr:1_{8D59C742-8083-41B9-AF8C-55AECBE6C9E9}" xr6:coauthVersionLast="47" xr6:coauthVersionMax="47" xr10:uidLastSave="{00000000-0000-0000-0000-000000000000}"/>
  <bookViews>
    <workbookView xWindow="-120" yWindow="-120" windowWidth="20730" windowHeight="11040" firstSheet="1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54" l="1"/>
  <c r="G18" i="54"/>
  <c r="D147" i="119"/>
  <c r="H55" i="54"/>
  <c r="G7" i="63"/>
  <c r="F36" i="119"/>
  <c r="H44" i="54"/>
  <c r="D58" i="119"/>
  <c r="E23" i="127" l="1"/>
  <c r="E22" i="127"/>
  <c r="E20" i="127"/>
  <c r="H48" i="54" l="1"/>
  <c r="D54" i="119"/>
  <c r="E62" i="63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D36" i="119"/>
  <c r="D37" i="119" s="1"/>
  <c r="F37" i="119" s="1"/>
  <c r="I18" i="54" l="1"/>
  <c r="J18" i="54" s="1"/>
  <c r="H14" i="63"/>
  <c r="H70" i="54"/>
  <c r="F236" i="83"/>
  <c r="H13" i="63"/>
  <c r="G13" i="63"/>
  <c r="H52" i="54"/>
  <c r="G52" i="54"/>
  <c r="E59" i="63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F38" i="119" l="1"/>
  <c r="J11" i="54"/>
  <c r="O29" i="83"/>
  <c r="E40" i="126" s="1"/>
  <c r="H56" i="54"/>
  <c r="H21" i="63"/>
  <c r="B6" i="54"/>
  <c r="I29" i="54"/>
  <c r="E60" i="63"/>
  <c r="E69" i="63" s="1"/>
  <c r="G30" i="54"/>
  <c r="G32" i="54"/>
  <c r="E10" i="83" l="1"/>
  <c r="H114" i="54"/>
  <c r="E27" i="83"/>
  <c r="E67" i="126" s="1"/>
  <c r="H109" i="54"/>
  <c r="G29" i="54"/>
  <c r="J29" i="54" s="1"/>
  <c r="E48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B8" i="54" l="1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G16" i="54"/>
  <c r="E68" i="63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J34" i="54" s="1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L2" i="83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4" i="126"/>
  <c r="C231" i="126"/>
  <c r="C232" i="126" s="1"/>
  <c r="F220" i="126"/>
  <c r="E70" i="54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F93" i="54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E31" i="83" l="1"/>
  <c r="I116" i="54"/>
  <c r="E115" i="54"/>
  <c r="I115" i="54" s="1"/>
  <c r="K46" i="83"/>
  <c r="C46" i="83" s="1"/>
  <c r="C91" i="126"/>
  <c r="C93" i="126" s="1"/>
  <c r="J66" i="54" s="1"/>
  <c r="G220" i="126"/>
  <c r="E224" i="126"/>
  <c r="D231" i="126"/>
  <c r="D232" i="126" s="1"/>
  <c r="J70" i="54"/>
  <c r="I111" i="54" s="1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H197" i="126"/>
  <c r="M101" i="83"/>
  <c r="F101" i="83"/>
  <c r="J101" i="83"/>
  <c r="J112" i="83"/>
  <c r="J117" i="83" s="1"/>
  <c r="E60" i="54" s="1"/>
  <c r="J60" i="54" s="1"/>
  <c r="I109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O36" i="83" l="1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J48" i="54"/>
  <c r="J38" i="54"/>
  <c r="J46" i="54"/>
  <c r="F102" i="54"/>
  <c r="J44" i="54"/>
  <c r="G100" i="54"/>
  <c r="I44" i="54"/>
  <c r="O37" i="83" l="1"/>
  <c r="E61" i="54" s="1"/>
  <c r="E62" i="54" s="1"/>
  <c r="E47" i="126"/>
  <c r="K115" i="83"/>
  <c r="L115" i="83" s="1"/>
  <c r="G224" i="126"/>
  <c r="G231" i="126" s="1"/>
  <c r="G233" i="126" s="1"/>
  <c r="F231" i="126"/>
  <c r="N149" i="126"/>
  <c r="N157" i="126" s="1"/>
  <c r="M149" i="126"/>
  <c r="M157" i="126" s="1"/>
  <c r="M164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49" i="126" l="1"/>
  <c r="K163" i="126"/>
  <c r="L163" i="126" s="1"/>
  <c r="E257" i="126"/>
  <c r="G257" i="126"/>
  <c r="G259" i="126" s="1"/>
  <c r="M165" i="126"/>
  <c r="N164" i="126"/>
  <c r="N165" i="126" s="1"/>
  <c r="G184" i="83"/>
  <c r="G186" i="83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7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E65" i="83"/>
  <c r="K113" i="83"/>
  <c r="L109" i="83"/>
  <c r="L157" i="126" s="1"/>
  <c r="L98" i="83"/>
  <c r="J109" i="83"/>
  <c r="I157" i="126" s="1"/>
  <c r="E58" i="54" s="1"/>
  <c r="J58" i="54" l="1"/>
  <c r="I58" i="54"/>
  <c r="E62" i="83"/>
  <c r="K165" i="126"/>
  <c r="L165" i="126" s="1"/>
  <c r="L161" i="126"/>
  <c r="I158" i="126"/>
  <c r="I165" i="126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G93" i="5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<sst xmlns="http://schemas.openxmlformats.org/spreadsheetml/2006/main" count="987" uniqueCount="577">
  <si>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</si>
  <si>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</si>
  <si>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</si>
  <si>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</si>
  <si>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</si>
  <si>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</si>
  <si>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</si>
  <si>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</si>
  <si>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</si>
  <si>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</si>
  <si>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</si>
  <si>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</si>
  <si>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</si>
  <si>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</si>
  <si>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</si>
  <si>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</si>
  <si>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</si>
  <si>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</si>
  <si>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</si>
  <si>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</si>
  <si>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</si>
  <si>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</si>
  <si>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</si>
  <si>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</si>
  <si>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</si>
  <si>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</si>
  <si>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</si>
  <si>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</si>
  <si>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</si>
  <si>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</si>
  <si>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</si>
  <si>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</si>
  <si>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</si>
  <si>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</si>
  <si>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</si>
  <si>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</si>
  <si>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</si>
  <si>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</si>
  <si>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</si>
  <si>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</si>
  <si>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</si>
  <si>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</si>
  <si>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</si>
  <si>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</si>
  <si>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</si>
  <si>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</si>
  <si>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</si>
  <si>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</si>
  <si>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</si>
  <si>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</si>
  <si>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</si>
  <si>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</si>
  <si>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</si>
  <si>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</si>
  <si>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</si>
  <si>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</si>
  <si>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</si>
  <si>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</si>
  <si>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</si>
  <si>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</si>
  <si>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</si>
  <si>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</si>
  <si>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</si>
  <si>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</si>
  <si>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</si>
  <si>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</si>
  <si>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</si>
  <si>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</si>
  <si>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</si>
  <si>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</si>
  <si>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</si>
  <si>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</si>
  <si>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</si>
  <si>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</si>
  <si>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</si>
  <si>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</si>
  <si>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</si>
  <si>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</si>
  <si>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</si>
  <si>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</si>
  <si>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</si>
  <si>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</si>
  <si>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</si>
  <si>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</si>
  <si>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</si>
  <si>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</si>
  <si>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</si>
  <si>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</si>
  <si>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</si>
  <si>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</si>
  <si>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</si>
  <si>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</si>
  <si>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</si>
  <si>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</si>
  <si>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</si>
  <si>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</si>
  <si>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</si>
  <si>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</si>
  <si>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</si>
  <si>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</si>
  <si>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</si>
  <si>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</si>
  <si>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</si>
  <si>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</si>
  <si>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</si>
  <si>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</si>
  <si>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</si>
  <si>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</si>
  <si>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</si>
  <si>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</si>
  <si>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</si>
  <si>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</si>
  <si>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</si>
  <si>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</si>
  <si>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</si>
  <si>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</si>
  <si>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</si>
  <si>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</si>
  <si>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</si>
  <si>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</si>
  <si>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</si>
  <si>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</si>
  <si>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</si>
  <si>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</si>
  <si>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</si>
  <si>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</si>
  <si>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</si>
  <si>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</si>
  <si>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</si>
  <si>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</si>
  <si>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</si>
  <si>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</si>
  <si>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</si>
  <si>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</si>
  <si>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</si>
  <si>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</si>
  <si>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</si>
  <si>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</si>
  <si>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</si>
  <si>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</si>
  <si>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</si>
  <si>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</si>
  <si>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</si>
  <si>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</si>
  <si>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</si>
  <si>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</si>
  <si>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</si>
  <si>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</si>
  <si>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</si>
  <si>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</si>
  <si>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</si>
  <si>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</si>
  <si>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</si>
  <si>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</si>
  <si>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</si>
  <si>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</si>
  <si>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</si>
  <si>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</si>
  <si>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</si>
  <si>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</si>
  <si>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</si>
  <si>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</si>
  <si>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</si>
  <si>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</si>
  <si>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</si>
  <si>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</si>
  <si>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</si>
  <si>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</si>
  <si>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</si>
  <si>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</si>
  <si>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</si>
  <si>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</si>
  <si>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</si>
  <si>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</si>
  <si>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</si>
  <si>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</si>
  <si>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</si>
  <si>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</si>
  <si>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</si>
  <si>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</si>
  <si>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</si>
  <si>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</si>
  <si>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</si>
  <si>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</si>
  <si>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</si>
  <si>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</si>
  <si>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</si>
  <si>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</si>
  <si>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</si>
  <si>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</si>
  <si>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</si>
  <si>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</si>
  <si>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</si>
  <si>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</si>
  <si>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</si>
  <si>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</si>
  <si>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</si>
  <si>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</si>
  <si>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</si>
  <si>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</si>
  <si>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</si>
  <si>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</si>
  <si>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</si>
  <si>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</si>
  <si>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</si>
  <si>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</si>
  <si>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</si>
  <si>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</si>
  <si>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</si>
  <si>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</si>
  <si>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</si>
  <si>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</si>
  <si>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</si>
  <si>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</si>
  <si>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</si>
  <si>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</si>
  <si>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</si>
  <si>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</si>
  <si>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</si>
  <si>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</si>
  <si>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</si>
  <si>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</si>
  <si>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</si>
  <si>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</si>
  <si>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</si>
  <si>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</si>
  <si>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</si>
  <si>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</si>
  <si>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</si>
  <si>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</si>
  <si>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</si>
  <si>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</si>
  <si>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</si>
  <si>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</si>
  <si>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</si>
  <si>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</si>
  <si>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</si>
  <si>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</si>
  <si>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</si>
  <si>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</si>
  <si>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</si>
  <si>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</si>
  <si>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</si>
  <si>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</si>
  <si>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</si>
  <si>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</si>
  <si>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</si>
  <si>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</si>
  <si>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</si>
  <si>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</si>
  <si>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</si>
  <si>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</si>
  <si>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</si>
  <si>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</si>
  <si>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</si>
  <si>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</si>
  <si>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</si>
  <si>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</si>
  <si>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</si>
  <si>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</si>
  <si>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</si>
  <si>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</si>
  <si>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</si>
  <si>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</si>
  <si>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</si>
  <si>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</si>
  <si>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</si>
  <si>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</si>
  <si>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</si>
  <si>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</si>
  <si>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</si>
  <si>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</si>
  <si>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</si>
  <si>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</si>
  <si>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</si>
  <si>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</si>
  <si>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</si>
  <si>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</si>
  <si>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</si>
  <si>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</si>
  <si>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</si>
  <si>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</si>
  <si>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</si>
  <si>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</si>
  <si>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</si>
  <si>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</si>
  <si>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</si>
  <si>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</si>
  <si>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</si>
  <si>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</si>
  <si>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</si>
  <si>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</si>
  <si>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</si>
  <si>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</si>
  <si>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</si>
  <si>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</si>
  <si>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</si>
  <si>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</si>
  <si>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</si>
  <si>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</si>
  <si>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</si>
  <si>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</si>
  <si>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</si>
  <si>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</si>
  <si>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</si>
  <si>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</si>
  <si>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</si>
  <si>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</si>
  <si>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</si>
  <si>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</si>
  <si>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</si>
  <si>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</si>
  <si>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</si>
  <si>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</si>
  <si>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</si>
  <si>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</si>
  <si>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</si>
  <si>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</si>
  <si>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</si>
  <si>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</si>
  <si>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</si>
  <si>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</si>
  <si>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</si>
  <si>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</si>
  <si>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</si>
  <si>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</si>
  <si>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</si>
  <si>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</si>
  <si>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</si>
  <si>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</si>
  <si>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</si>
  <si>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</si>
  <si>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</si>
  <si>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</si>
  <si>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</si>
  <si>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</si>
  <si>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</si>
  <si>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</si>
  <si>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</si>
  <si>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</si>
  <si>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</si>
  <si>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</si>
  <si>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</si>
  <si>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</si>
  <si>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</si>
  <si>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</si>
  <si>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</si>
  <si>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</si>
  <si>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</si>
  <si>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</si>
  <si>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</si>
  <si>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</si>
  <si>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</si>
  <si>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</si>
  <si>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</si>
  <si>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</si>
  <si>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</si>
  <si>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</si>
  <si>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</si>
  <si>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</si>
  <si>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</si>
  <si>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</si>
  <si>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</si>
  <si>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</si>
  <si>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</si>
  <si>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</si>
  <si>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</si>
  <si>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</si>
  <si>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</si>
  <si>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</si>
  <si>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</si>
  <si>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</si>
  <si>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</si>
  <si>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</si>
  <si>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</si>
  <si>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</si>
  <si>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</si>
  <si>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</si>
  <si>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</si>
  <si>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</si>
  <si>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</si>
  <si>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</si>
  <si>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</si>
  <si>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</si>
  <si>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</si>
  <si>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</si>
  <si>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</si>
  <si>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</si>
  <si>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</si>
  <si>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>TR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</si>
  <si>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</si>
  <si>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</si>
  <si>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</si>
  <si>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</si>
  <si>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</si>
  <si>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</si>
  <si>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</si>
  <si>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</si>
  <si>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</si>
  <si>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</si>
  <si>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</si>
  <si>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</si>
  <si>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</si>
  <si>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</si>
  <si>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</si>
  <si>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</si>
  <si>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</si>
  <si>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</si>
  <si>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</si>
  <si>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</si>
  <si>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</si>
  <si>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</si>
  <si>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</si>
  <si>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</si>
  <si>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</si>
  <si>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</si>
  <si>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</si>
  <si>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</si>
  <si>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</si>
  <si>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PP Prévoyance </t>
  </si>
  <si>
    <t>Cette indemnité de trajet est cependant exclue de la base de calcul de la cotisation à la caisse de congés payés et de l'OPPBTP</t>
  </si>
  <si>
    <t>* Cf bas de page Lignes 232 à 236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</si>
  <si>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</si>
  <si>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</si>
  <si>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</si>
  <si>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</si>
  <si>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</si>
  <si>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</si>
  <si>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</si>
  <si>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</si>
  <si>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</si>
  <si>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</si>
  <si>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</si>
  <si>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</si>
  <si>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</si>
  <si>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</si>
  <si>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</si>
  <si>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</si>
  <si>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</si>
  <si>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</si>
  <si>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</si>
  <si>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</si>
  <si>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</si>
  <si>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</si>
  <si>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</si>
  <si>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</si>
  <si>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</si>
  <si>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</si>
  <si>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</si>
  <si>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</si>
  <si>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</si>
  <si>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</si>
  <si>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</si>
  <si>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</si>
  <si>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</si>
  <si>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</si>
  <si>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</si>
  <si>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</si>
  <si>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</si>
  <si>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</si>
  <si>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</si>
  <si>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</si>
  <si>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</si>
  <si>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</si>
  <si>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</si>
  <si>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</si>
  <si>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</si>
  <si>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</si>
  <si>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</si>
  <si>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Non</t>
  </si>
  <si>
    <t>Echelon</t>
  </si>
  <si>
    <t xml:space="preserve">Echelon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</si>
  <si>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</si>
  <si>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</si>
  <si>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</si>
  <si>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</si>
  <si>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</si>
  <si>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</si>
  <si>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</si>
  <si>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</si>
  <si>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</si>
  <si>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</si>
  <si>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</si>
  <si>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 xml:space="preserve">Cellule J53 du BP </t>
  </si>
  <si>
    <t xml:space="preserve">Cellule I81 du bulletin de Paie </t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</si>
  <si>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</si>
  <si>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</si>
  <si>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</si>
  <si>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</si>
  <si>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</si>
  <si>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</si>
  <si>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</si>
  <si>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</si>
  <si>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</si>
  <si>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</si>
  <si>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</si>
  <si>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</si>
  <si>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</si>
  <si>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</si>
  <si>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</si>
  <si>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</si>
  <si>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</si>
  <si>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</si>
  <si>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</si>
  <si>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</si>
  <si>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</si>
  <si>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</si>
  <si>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</si>
  <si>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</si>
  <si>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</si>
  <si>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</si>
  <si>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</si>
  <si>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</si>
  <si>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</si>
  <si>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</si>
  <si>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</si>
  <si>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</si>
  <si>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</si>
  <si>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</si>
  <si>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</si>
  <si>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</si>
  <si>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</si>
  <si>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</si>
  <si>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</si>
  <si>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</si>
  <si>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</si>
  <si>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</si>
  <si>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</si>
  <si>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</si>
  <si>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</si>
  <si>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</si>
  <si>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</si>
  <si>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</si>
  <si>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</si>
  <si>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</si>
  <si>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</si>
  <si>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</si>
  <si>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</si>
  <si>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</si>
  <si>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 xml:space="preserve">Le salarié a un contrat de 151,67 heures </t>
  </si>
  <si>
    <t xml:space="preserve">Versement mobilité </t>
  </si>
  <si>
    <t xml:space="preserve">APNAB Applicable dans le Bâtiment </t>
  </si>
  <si>
    <t>Convention Collective Nationale des Cadres des Travaux Publics  IDCC 3212</t>
  </si>
  <si>
    <t>4211 Z</t>
  </si>
  <si>
    <t xml:space="preserve">Septembre </t>
  </si>
  <si>
    <t xml:space="preserve">Cadre Bureau </t>
  </si>
  <si>
    <t xml:space="preserve">Niveau </t>
  </si>
  <si>
    <t xml:space="preserve">Salaire de base Contractuel mensuel </t>
  </si>
  <si>
    <t xml:space="preserve">Annuel </t>
  </si>
  <si>
    <t>T2</t>
  </si>
  <si>
    <t>T1</t>
  </si>
  <si>
    <t xml:space="preserve">Si l'entreprise ne pratique pas  la DFS on met à blanc  ces 2 cellules </t>
  </si>
  <si>
    <t xml:space="preserve">CSG CRDS Hors Heures Supp Non déductible </t>
  </si>
  <si>
    <t>0,12% de la Base Prévoyance T1  et 0,12 % PP en T2</t>
  </si>
  <si>
    <t xml:space="preserve">0,12%*Base PP Prévoyance  T1  et T2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</si>
  <si>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RGDU </t>
    </r>
  </si>
  <si>
    <t xml:space="preserve">Chômage intempéries pour le Gros œuvre </t>
  </si>
  <si>
    <t>On considérera que la cotisation à l'APAS  est  dûe</t>
  </si>
  <si>
    <t xml:space="preserve">d'apprentis donc pas de Taxe d'apprentissage </t>
  </si>
  <si>
    <t xml:space="preserve">On suppose que l'entreprise a employé au moins 1 apprenti au cours de l'année N-1  et que au moins 11% de sa masse salariale est représentée par des salaires </t>
  </si>
  <si>
    <t xml:space="preserve">Pas de Majoration d'assiette pour les entreprises des TP  </t>
  </si>
  <si>
    <t xml:space="preserve">Travaux Publics (Gros œuvre) </t>
  </si>
  <si>
    <t xml:space="preserve">Pas de Majoration d'assiette pour les entreprises des TP  ( Majoration de 13,14%  dans les entreprises du Bâtiment) </t>
  </si>
  <si>
    <t xml:space="preserve">les bases de calcul des cotisations Chômage Intempéries, Caisse des Congés Payés -OPPBTP  - CCCA BTP </t>
  </si>
  <si>
    <t xml:space="preserve">Mardi </t>
  </si>
  <si>
    <t xml:space="preserve">Majoration de  13,14% non applicable au secteur des Travaux Publics </t>
  </si>
  <si>
    <t xml:space="preserve">3 Rue Paul Vaillant Couturier 04000 Digne les Bains </t>
  </si>
  <si>
    <t>2, Avenue des Fleurs  04200 Castellane</t>
  </si>
  <si>
    <t>B4</t>
  </si>
  <si>
    <t>2.96.02.297.820. 957</t>
  </si>
  <si>
    <t xml:space="preserve">Heures supp/  </t>
  </si>
  <si>
    <t>L</t>
  </si>
  <si>
    <t xml:space="preserve">Digne les Bains </t>
  </si>
  <si>
    <t>PACA</t>
  </si>
  <si>
    <t>04000</t>
  </si>
  <si>
    <t>Taux applicable en PACA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</si>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</sst>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67" fillId="5" borderId="0" xfId="0" applyNumberFormat="1" applyFont="1" applyFill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0" fontId="11" fillId="4" borderId="0" xfId="0" quotePrefix="1" applyFont="1" applyFill="1" applyAlignment="1">
      <alignment horizontal="center"/>
    </xf>
    <xf numFmtId="171" fontId="0" fillId="0" borderId="0" xfId="1" applyNumberFormat="1" applyFont="1"/>
    <xf numFmtId="0" fontId="36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4" fontId="51" fillId="15" borderId="1" xfId="0" applyNumberFormat="1" applyFont="1" applyFill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10" fontId="50" fillId="4" borderId="0" xfId="0" applyNumberFormat="1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43" fillId="3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" fontId="67" fillId="6" borderId="0" xfId="0" applyNumberFormat="1" applyFont="1" applyFill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43" fontId="10" fillId="0" borderId="0" xfId="0" applyNumberFormat="1" applyFont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52" fillId="5" borderId="1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10" fontId="3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52</xdr:row>
      <xdr:rowOff>160020</xdr:rowOff>
    </xdr:from>
    <xdr:to>
      <xdr:col>18</xdr:col>
      <xdr:colOff>437523</xdr:colOff>
      <xdr:row>58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89"/>
    <col min="2" max="2" width="23.5703125" style="89" customWidth="1"/>
    <col min="3" max="3" width="18.7109375" style="90"/>
    <col min="4" max="4" width="18.7109375" style="88"/>
    <col min="5" max="5" width="18.7109375" style="31"/>
  </cols>
  <sheetData>
    <row r="1" spans="1:5" ht="48" customHeight="1" x14ac:dyDescent="0.25">
      <c r="A1" s="468" t="s">
        <v>48</v>
      </c>
      <c r="B1" s="469"/>
      <c r="C1" s="29" t="s">
        <v>77</v>
      </c>
      <c r="D1" s="30" t="s">
        <v>78</v>
      </c>
    </row>
    <row r="2" spans="1:5" ht="19.5" customHeight="1" x14ac:dyDescent="0.25">
      <c r="A2" s="470" t="s">
        <v>79</v>
      </c>
      <c r="B2" s="471"/>
      <c r="C2" s="29"/>
      <c r="D2" s="30"/>
    </row>
    <row r="3" spans="1:5" s="5" customFormat="1" ht="19.5" customHeight="1" x14ac:dyDescent="0.25">
      <c r="A3" s="472" t="s">
        <v>494</v>
      </c>
      <c r="B3" s="473"/>
      <c r="C3" s="32"/>
      <c r="D3" s="417">
        <v>0.13</v>
      </c>
      <c r="E3" s="12"/>
    </row>
    <row r="4" spans="1:5" s="5" customFormat="1" ht="19.5" customHeight="1" x14ac:dyDescent="0.25">
      <c r="A4" s="466"/>
      <c r="B4" s="467"/>
      <c r="C4" s="32"/>
      <c r="D4" s="32"/>
      <c r="E4" s="33"/>
    </row>
    <row r="5" spans="1:5" s="5" customFormat="1" ht="19.5" customHeight="1" x14ac:dyDescent="0.25">
      <c r="A5" s="466" t="s">
        <v>80</v>
      </c>
      <c r="B5" s="467"/>
      <c r="C5" s="34"/>
      <c r="D5" s="34"/>
      <c r="E5" s="465"/>
    </row>
    <row r="6" spans="1:5" s="5" customFormat="1" ht="19.5" customHeight="1" x14ac:dyDescent="0.25">
      <c r="A6" s="466" t="s">
        <v>54</v>
      </c>
      <c r="B6" s="467"/>
      <c r="C6" s="32"/>
      <c r="D6" s="32"/>
      <c r="E6" s="465"/>
    </row>
    <row r="7" spans="1:5" s="5" customFormat="1" ht="19.5" customHeight="1" x14ac:dyDescent="0.25">
      <c r="A7" s="476"/>
      <c r="B7" s="477"/>
      <c r="C7" s="477"/>
      <c r="D7" s="478"/>
      <c r="E7" s="35"/>
    </row>
    <row r="8" spans="1:5" s="5" customFormat="1" ht="27.75" customHeight="1" x14ac:dyDescent="0.25">
      <c r="A8" s="479" t="s">
        <v>55</v>
      </c>
      <c r="B8" s="480"/>
      <c r="C8" s="36"/>
      <c r="D8" s="37"/>
    </row>
    <row r="9" spans="1:5" s="5" customFormat="1" ht="19.5" customHeight="1" x14ac:dyDescent="0.25">
      <c r="A9" s="481" t="s">
        <v>81</v>
      </c>
      <c r="B9" s="482"/>
      <c r="C9" s="38"/>
      <c r="D9" s="38"/>
    </row>
    <row r="10" spans="1:5" s="5" customFormat="1" ht="19.5" customHeight="1" x14ac:dyDescent="0.25">
      <c r="A10" s="483" t="s">
        <v>495</v>
      </c>
      <c r="B10" s="484"/>
      <c r="C10" s="39"/>
      <c r="D10" s="418">
        <v>5.2499999999999998E-2</v>
      </c>
    </row>
    <row r="11" spans="1:5" s="5" customFormat="1" ht="19.5" customHeight="1" x14ac:dyDescent="0.25">
      <c r="A11" s="485"/>
      <c r="B11" s="467"/>
      <c r="C11" s="39"/>
      <c r="D11" s="41"/>
    </row>
    <row r="12" spans="1:5" s="5" customFormat="1" ht="19.5" customHeight="1" x14ac:dyDescent="0.25">
      <c r="A12" s="486" t="s">
        <v>82</v>
      </c>
      <c r="B12" s="487"/>
      <c r="C12" s="42"/>
      <c r="D12" s="43"/>
    </row>
    <row r="13" spans="1:5" s="5" customFormat="1" ht="19.5" customHeight="1" x14ac:dyDescent="0.25">
      <c r="A13" s="488" t="s">
        <v>83</v>
      </c>
      <c r="B13" s="489"/>
      <c r="C13" s="44"/>
      <c r="D13" s="44">
        <v>4.0500000000000001E-2</v>
      </c>
    </row>
    <row r="14" spans="1:5" s="5" customFormat="1" ht="19.5" customHeight="1" x14ac:dyDescent="0.25">
      <c r="A14" s="488" t="s">
        <v>84</v>
      </c>
      <c r="B14" s="489"/>
      <c r="C14" s="44"/>
      <c r="D14" s="44">
        <v>2.5000000000000001E-3</v>
      </c>
    </row>
    <row r="15" spans="1:5" s="5" customFormat="1" ht="19.5" customHeight="1" x14ac:dyDescent="0.25">
      <c r="A15" s="490" t="s">
        <v>65</v>
      </c>
      <c r="B15" s="491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492" t="s">
        <v>56</v>
      </c>
      <c r="B16" s="493"/>
      <c r="C16" s="493"/>
      <c r="D16" s="493"/>
    </row>
    <row r="17" spans="1:5" s="5" customFormat="1" ht="19.5" customHeight="1" x14ac:dyDescent="0.25">
      <c r="A17" s="474" t="s">
        <v>57</v>
      </c>
      <c r="B17" s="475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4" t="s">
        <v>58</v>
      </c>
      <c r="B18" s="475"/>
      <c r="C18" s="40">
        <v>4.0000000000000001E-3</v>
      </c>
      <c r="D18" s="418">
        <v>2.1100000000000001E-2</v>
      </c>
    </row>
    <row r="19" spans="1:5" s="5" customFormat="1" ht="19.5" customHeight="1" x14ac:dyDescent="0.25">
      <c r="A19" s="474" t="s">
        <v>59</v>
      </c>
      <c r="B19" s="475"/>
      <c r="C19" s="40">
        <v>3.15E-2</v>
      </c>
      <c r="D19" s="40">
        <v>4.7199999999999999E-2</v>
      </c>
    </row>
    <row r="20" spans="1:5" s="5" customFormat="1" ht="19.5" customHeight="1" x14ac:dyDescent="0.25">
      <c r="A20" s="474" t="s">
        <v>60</v>
      </c>
      <c r="B20" s="475"/>
      <c r="C20" s="40">
        <v>8.6400000000000005E-2</v>
      </c>
      <c r="D20" s="40">
        <v>0.1295</v>
      </c>
    </row>
    <row r="21" spans="1:5" s="5" customFormat="1" ht="19.5" customHeight="1" x14ac:dyDescent="0.25">
      <c r="A21" s="474" t="s">
        <v>85</v>
      </c>
      <c r="B21" s="475"/>
      <c r="C21" s="40">
        <v>8.6E-3</v>
      </c>
      <c r="D21" s="40">
        <v>1.29E-2</v>
      </c>
    </row>
    <row r="22" spans="1:5" s="5" customFormat="1" ht="19.5" customHeight="1" x14ac:dyDescent="0.25">
      <c r="A22" s="474" t="s">
        <v>86</v>
      </c>
      <c r="B22" s="475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4" t="s">
        <v>87</v>
      </c>
      <c r="B23" s="475"/>
      <c r="C23" s="40">
        <v>1.4E-3</v>
      </c>
      <c r="D23" s="40">
        <v>2.0999999999999999E-3</v>
      </c>
    </row>
    <row r="24" spans="1:5" s="5" customFormat="1" ht="19.5" customHeight="1" x14ac:dyDescent="0.25">
      <c r="A24" s="474" t="s">
        <v>88</v>
      </c>
      <c r="B24" s="475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4" t="s">
        <v>89</v>
      </c>
      <c r="B26" s="475"/>
      <c r="C26" s="39"/>
      <c r="D26" s="40">
        <v>1E-3</v>
      </c>
      <c r="E26" s="35"/>
    </row>
    <row r="27" spans="1:5" s="5" customFormat="1" ht="19.5" customHeight="1" x14ac:dyDescent="0.25">
      <c r="A27" s="494" t="s">
        <v>90</v>
      </c>
      <c r="B27" s="495"/>
      <c r="C27" s="39"/>
      <c r="D27" s="40">
        <v>5.0000000000000001E-3</v>
      </c>
      <c r="E27" s="35"/>
    </row>
    <row r="28" spans="1:5" s="5" customFormat="1" ht="19.5" customHeight="1" x14ac:dyDescent="0.25">
      <c r="A28" s="494" t="s">
        <v>91</v>
      </c>
      <c r="B28" s="495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4" t="s">
        <v>8</v>
      </c>
      <c r="B29" s="475"/>
      <c r="C29" s="39"/>
      <c r="D29" s="40">
        <v>3.0000000000000001E-3</v>
      </c>
      <c r="E29" s="35"/>
    </row>
    <row r="30" spans="1:5" s="5" customFormat="1" ht="19.5" customHeight="1" x14ac:dyDescent="0.25">
      <c r="A30" s="474" t="s">
        <v>93</v>
      </c>
      <c r="B30" s="475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4" t="s">
        <v>11</v>
      </c>
      <c r="B32" s="475"/>
      <c r="C32" s="39"/>
      <c r="D32" s="44">
        <v>1.6000000000000001E-4</v>
      </c>
      <c r="E32" s="12"/>
    </row>
    <row r="33" spans="1:5" s="5" customFormat="1" ht="24.75" customHeight="1" x14ac:dyDescent="0.25">
      <c r="A33" s="466" t="s">
        <v>94</v>
      </c>
      <c r="B33" s="475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4" t="s">
        <v>95</v>
      </c>
      <c r="B34" s="475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4" t="s">
        <v>12</v>
      </c>
      <c r="B35" s="475"/>
      <c r="C35" s="50"/>
      <c r="D35" s="40">
        <v>4.4999999999999997E-3</v>
      </c>
      <c r="E35" s="52"/>
    </row>
    <row r="36" spans="1:5" s="5" customFormat="1" ht="15" customHeight="1" x14ac:dyDescent="0.25">
      <c r="A36" s="497"/>
      <c r="B36" s="498"/>
      <c r="C36" s="42"/>
      <c r="D36" s="43"/>
      <c r="E36" s="52"/>
    </row>
    <row r="37" spans="1:5" s="5" customFormat="1" ht="21" customHeight="1" x14ac:dyDescent="0.25">
      <c r="A37" s="488" t="s">
        <v>96</v>
      </c>
      <c r="B37" s="489"/>
      <c r="C37" s="53">
        <v>6.8000000000000005E-2</v>
      </c>
      <c r="D37" s="54"/>
      <c r="E37" s="55"/>
    </row>
    <row r="38" spans="1:5" s="5" customFormat="1" ht="21" customHeight="1" x14ac:dyDescent="0.25">
      <c r="A38" s="496" t="s">
        <v>97</v>
      </c>
      <c r="B38" s="496"/>
      <c r="C38" s="53">
        <v>2.9000000000000001E-2</v>
      </c>
      <c r="D38" s="54"/>
      <c r="E38" s="12"/>
    </row>
    <row r="39" spans="1:5" s="5" customFormat="1" ht="21" customHeight="1" x14ac:dyDescent="0.25">
      <c r="A39" s="488" t="s">
        <v>98</v>
      </c>
      <c r="B39" s="489"/>
      <c r="C39" s="53">
        <v>6.8000000000000005E-2</v>
      </c>
      <c r="D39" s="54"/>
      <c r="E39" s="12"/>
    </row>
    <row r="40" spans="1:5" s="5" customFormat="1" ht="21" customHeight="1" x14ac:dyDescent="0.25">
      <c r="A40" s="488" t="s">
        <v>99</v>
      </c>
      <c r="B40" s="489"/>
      <c r="C40" s="53">
        <v>6.8000000000000005E-2</v>
      </c>
      <c r="D40" s="54"/>
    </row>
    <row r="41" spans="1:5" s="5" customFormat="1" ht="21" customHeight="1" x14ac:dyDescent="0.25">
      <c r="A41" s="488" t="s">
        <v>100</v>
      </c>
      <c r="B41" s="489"/>
      <c r="C41" s="53">
        <v>2.9000000000000001E-2</v>
      </c>
      <c r="D41" s="54"/>
    </row>
    <row r="42" spans="1:5" s="5" customFormat="1" ht="10.5" customHeight="1" x14ac:dyDescent="0.25">
      <c r="A42" s="499"/>
      <c r="B42" s="500"/>
      <c r="C42" s="500"/>
      <c r="D42" s="501"/>
      <c r="E42" s="56"/>
    </row>
    <row r="43" spans="1:5" s="5" customFormat="1" ht="15" customHeight="1" x14ac:dyDescent="0.25">
      <c r="A43" s="502" t="s">
        <v>101</v>
      </c>
      <c r="B43" s="503"/>
      <c r="C43" s="57"/>
      <c r="D43" s="58"/>
      <c r="E43" s="12"/>
    </row>
    <row r="44" spans="1:5" s="5" customFormat="1" ht="15" customHeight="1" x14ac:dyDescent="0.25">
      <c r="A44" s="491" t="s">
        <v>73</v>
      </c>
      <c r="B44" s="496"/>
      <c r="C44" s="53"/>
      <c r="D44" s="53"/>
      <c r="E44" s="59"/>
    </row>
    <row r="45" spans="1:5" s="5" customFormat="1" ht="15" customHeight="1" x14ac:dyDescent="0.25">
      <c r="A45" s="491" t="s">
        <v>72</v>
      </c>
      <c r="B45" s="496"/>
      <c r="C45" s="53"/>
      <c r="D45" s="53"/>
      <c r="E45" s="59"/>
    </row>
    <row r="46" spans="1:5" s="5" customFormat="1" ht="15" customHeight="1" x14ac:dyDescent="0.25">
      <c r="A46" s="496" t="s">
        <v>102</v>
      </c>
      <c r="B46" s="496"/>
      <c r="C46" s="53"/>
      <c r="D46" s="53">
        <v>1.4999999999999999E-2</v>
      </c>
      <c r="E46" s="59"/>
    </row>
    <row r="47" spans="1:5" s="5" customFormat="1" ht="15" customHeight="1" x14ac:dyDescent="0.25">
      <c r="A47" s="488" t="s">
        <v>103</v>
      </c>
      <c r="B47" s="489"/>
      <c r="C47" s="57"/>
      <c r="D47" s="60"/>
      <c r="E47" s="12"/>
    </row>
    <row r="48" spans="1:5" s="5" customFormat="1" ht="15" customHeight="1" x14ac:dyDescent="0.25">
      <c r="A48" s="488" t="s">
        <v>104</v>
      </c>
      <c r="B48" s="489"/>
      <c r="C48" s="57"/>
      <c r="D48" s="60"/>
      <c r="E48" s="12"/>
    </row>
    <row r="49" spans="1:6" s="5" customFormat="1" ht="8.25" customHeight="1" x14ac:dyDescent="0.25">
      <c r="A49" s="476"/>
      <c r="B49" s="477"/>
      <c r="C49" s="477"/>
      <c r="D49" s="478"/>
      <c r="E49" s="12"/>
    </row>
    <row r="50" spans="1:6" s="5" customFormat="1" ht="15" customHeight="1" x14ac:dyDescent="0.25">
      <c r="A50" s="515" t="s">
        <v>496</v>
      </c>
      <c r="B50" s="516"/>
      <c r="C50" s="424">
        <v>4005</v>
      </c>
      <c r="D50" s="422"/>
      <c r="E50" s="12"/>
    </row>
    <row r="51" spans="1:6" s="5" customFormat="1" x14ac:dyDescent="0.25">
      <c r="A51" s="515" t="s">
        <v>497</v>
      </c>
      <c r="B51" s="516"/>
      <c r="C51" s="421">
        <v>11.88</v>
      </c>
      <c r="D51" s="420"/>
      <c r="E51" s="12"/>
    </row>
    <row r="52" spans="1:6" s="5" customFormat="1" x14ac:dyDescent="0.25">
      <c r="A52" s="515"/>
      <c r="B52" s="516"/>
      <c r="C52" s="421">
        <v>11.88</v>
      </c>
      <c r="D52" s="420"/>
      <c r="E52" s="12"/>
    </row>
    <row r="53" spans="1:6" s="5" customFormat="1" x14ac:dyDescent="0.25">
      <c r="A53" s="415" t="s">
        <v>498</v>
      </c>
      <c r="B53" s="416"/>
      <c r="C53" s="424">
        <v>12.02</v>
      </c>
      <c r="D53" s="420"/>
      <c r="E53" s="12"/>
    </row>
    <row r="54" spans="1:6" s="5" customFormat="1" x14ac:dyDescent="0.25">
      <c r="A54" s="515" t="s">
        <v>105</v>
      </c>
      <c r="B54" s="516"/>
      <c r="C54" s="423"/>
      <c r="D54" s="420"/>
      <c r="E54" s="12"/>
    </row>
    <row r="55" spans="1:6" s="5" customFormat="1" x14ac:dyDescent="0.25">
      <c r="A55" s="515" t="s">
        <v>105</v>
      </c>
      <c r="B55" s="516"/>
      <c r="C55" s="423"/>
      <c r="D55" s="420"/>
      <c r="E55" s="12"/>
    </row>
    <row r="56" spans="1:6" s="5" customFormat="1" x14ac:dyDescent="0.25">
      <c r="A56" s="415" t="s">
        <v>499</v>
      </c>
      <c r="B56" s="416"/>
      <c r="C56" s="423">
        <v>1823.0333333333331</v>
      </c>
      <c r="D56" s="420"/>
      <c r="E56" s="426">
        <v>1823.07</v>
      </c>
      <c r="F56" s="5" t="s">
        <v>500</v>
      </c>
    </row>
    <row r="57" spans="1:6" s="5" customFormat="1" x14ac:dyDescent="0.25">
      <c r="A57" s="515"/>
      <c r="B57" s="516"/>
      <c r="C57" s="421"/>
      <c r="D57" s="420"/>
      <c r="E57" s="426"/>
    </row>
    <row r="58" spans="1:6" s="5" customFormat="1" ht="15" customHeight="1" x14ac:dyDescent="0.25">
      <c r="A58" s="517"/>
      <c r="B58" s="518"/>
      <c r="C58" s="425"/>
      <c r="D58" s="32"/>
      <c r="E58" s="426"/>
      <c r="F58" s="61"/>
    </row>
    <row r="59" spans="1:6" s="5" customFormat="1" ht="15" customHeight="1" x14ac:dyDescent="0.25">
      <c r="A59" s="517" t="s">
        <v>501</v>
      </c>
      <c r="B59" s="518"/>
      <c r="C59" s="425">
        <v>5469.1000000000013</v>
      </c>
      <c r="D59" s="32"/>
      <c r="E59" s="61">
        <v>5469.22</v>
      </c>
      <c r="F59" s="5" t="s">
        <v>500</v>
      </c>
    </row>
    <row r="60" spans="1:6" s="5" customFormat="1" ht="31.5" customHeight="1" x14ac:dyDescent="0.25">
      <c r="A60" s="488" t="s">
        <v>502</v>
      </c>
      <c r="B60" s="489"/>
      <c r="C60" s="427">
        <v>0.37809999999999999</v>
      </c>
      <c r="D60" s="428">
        <v>0.3821</v>
      </c>
    </row>
    <row r="61" spans="1:6" s="5" customFormat="1" ht="31.5" customHeight="1" x14ac:dyDescent="0.25">
      <c r="A61" s="488" t="s">
        <v>106</v>
      </c>
      <c r="B61" s="489"/>
      <c r="C61" s="432"/>
      <c r="D61" s="433" t="s">
        <v>503</v>
      </c>
      <c r="E61" s="430"/>
    </row>
    <row r="62" spans="1:6" s="5" customFormat="1" ht="31.5" customHeight="1" x14ac:dyDescent="0.25">
      <c r="A62" s="519" t="s">
        <v>504</v>
      </c>
      <c r="B62" s="520"/>
      <c r="C62" s="432"/>
      <c r="D62" s="433" t="s">
        <v>505</v>
      </c>
      <c r="E62" s="430"/>
    </row>
    <row r="63" spans="1:6" s="5" customFormat="1" ht="31.5" customHeight="1" x14ac:dyDescent="0.25">
      <c r="A63" s="474" t="s">
        <v>506</v>
      </c>
      <c r="B63" s="475"/>
      <c r="C63" s="435">
        <v>7.32</v>
      </c>
      <c r="D63" s="434"/>
      <c r="E63" s="431"/>
    </row>
    <row r="64" spans="1:6" s="5" customFormat="1" ht="31.5" customHeight="1" x14ac:dyDescent="0.25">
      <c r="A64" s="474" t="s">
        <v>107</v>
      </c>
      <c r="B64" s="475"/>
      <c r="C64" s="435">
        <v>90.8</v>
      </c>
      <c r="D64" s="434"/>
      <c r="E64" s="431"/>
    </row>
    <row r="65" spans="1:5" s="5" customFormat="1" ht="31.5" customHeight="1" x14ac:dyDescent="0.25">
      <c r="A65" s="474" t="s">
        <v>507</v>
      </c>
      <c r="B65" s="475"/>
      <c r="C65" s="435">
        <v>748</v>
      </c>
      <c r="D65" s="64"/>
      <c r="E65" s="12"/>
    </row>
    <row r="66" spans="1:5" s="5" customFormat="1" ht="18.75" customHeight="1" x14ac:dyDescent="0.25">
      <c r="A66" s="55"/>
      <c r="B66" s="506" t="s">
        <v>108</v>
      </c>
      <c r="C66" s="506"/>
      <c r="D66" s="507" t="s">
        <v>109</v>
      </c>
      <c r="E66" s="507"/>
    </row>
    <row r="67" spans="1:5" s="5" customFormat="1" ht="18.75" customHeight="1" x14ac:dyDescent="0.25">
      <c r="A67" s="55"/>
      <c r="B67" s="66" t="s">
        <v>110</v>
      </c>
      <c r="C67" s="65" t="s">
        <v>23</v>
      </c>
      <c r="D67" s="65" t="s">
        <v>110</v>
      </c>
      <c r="E67" s="65" t="s">
        <v>23</v>
      </c>
    </row>
    <row r="68" spans="1:5" s="5" customFormat="1" ht="18.75" customHeight="1" x14ac:dyDescent="0.25">
      <c r="A68" s="67" t="s">
        <v>59</v>
      </c>
      <c r="B68" s="68">
        <v>3.15E-2</v>
      </c>
      <c r="C68" s="69">
        <v>4.7199999999999999E-2</v>
      </c>
      <c r="D68" s="70">
        <v>3.15E-2</v>
      </c>
      <c r="E68" s="69">
        <v>4.7199999999999999E-2</v>
      </c>
    </row>
    <row r="69" spans="1:5" s="5" customFormat="1" ht="18.75" customHeight="1" x14ac:dyDescent="0.25">
      <c r="A69" s="67" t="s">
        <v>111</v>
      </c>
      <c r="B69" s="68">
        <v>8.6E-3</v>
      </c>
      <c r="C69" s="70">
        <v>1.29E-2</v>
      </c>
      <c r="D69" s="70">
        <v>8.6E-3</v>
      </c>
      <c r="E69" s="70">
        <v>1.29E-2</v>
      </c>
    </row>
    <row r="70" spans="1:5" s="5" customFormat="1" ht="18.75" customHeight="1" x14ac:dyDescent="0.25">
      <c r="A70" s="67" t="s">
        <v>112</v>
      </c>
      <c r="B70" s="71"/>
      <c r="C70" s="72"/>
      <c r="D70" s="70">
        <v>1.4E-3</v>
      </c>
      <c r="E70" s="70">
        <v>2.0999999999999999E-3</v>
      </c>
    </row>
    <row r="71" spans="1:5" s="5" customFormat="1" ht="35.25" customHeight="1" x14ac:dyDescent="0.25">
      <c r="A71" s="73" t="s">
        <v>113</v>
      </c>
      <c r="B71" s="74">
        <f>+B68+B69</f>
        <v>4.0099999999999997E-2</v>
      </c>
      <c r="C71" s="75">
        <f>+C68+C69</f>
        <v>6.0100000000000001E-2</v>
      </c>
      <c r="D71" s="75">
        <f>SUM(D68:D70)</f>
        <v>4.1499999999999995E-2</v>
      </c>
      <c r="E71" s="75">
        <f>SUM(E68:E70)</f>
        <v>6.2199999999999998E-2</v>
      </c>
    </row>
    <row r="72" spans="1:5" s="5" customFormat="1" ht="27" customHeight="1" x14ac:dyDescent="0.25">
      <c r="A72" s="76"/>
      <c r="B72" s="77"/>
      <c r="C72" s="78"/>
      <c r="D72" s="78"/>
      <c r="E72" s="78"/>
    </row>
    <row r="73" spans="1:5" s="5" customFormat="1" ht="18.75" customHeight="1" x14ac:dyDescent="0.25">
      <c r="A73" s="55"/>
      <c r="B73" s="55"/>
      <c r="C73" s="79"/>
      <c r="D73" s="65" t="s">
        <v>24</v>
      </c>
      <c r="E73" s="80" t="s">
        <v>23</v>
      </c>
    </row>
    <row r="74" spans="1:5" s="5" customFormat="1" ht="18.75" customHeight="1" x14ac:dyDescent="0.25">
      <c r="A74" s="67" t="s">
        <v>60</v>
      </c>
      <c r="B74" s="55"/>
      <c r="C74" s="79"/>
      <c r="D74" s="70">
        <v>8.6400000000000005E-2</v>
      </c>
      <c r="E74" s="70">
        <v>0.1295</v>
      </c>
    </row>
    <row r="75" spans="1:5" s="5" customFormat="1" ht="18.75" customHeight="1" x14ac:dyDescent="0.25">
      <c r="A75" s="67" t="s">
        <v>114</v>
      </c>
      <c r="B75" s="55"/>
      <c r="C75" s="79"/>
      <c r="D75" s="70">
        <v>1.0800000000000001E-2</v>
      </c>
      <c r="E75" s="70">
        <v>1.6199999999999999E-2</v>
      </c>
    </row>
    <row r="76" spans="1:5" s="5" customFormat="1" ht="18.75" customHeight="1" x14ac:dyDescent="0.25">
      <c r="A76" s="67" t="s">
        <v>115</v>
      </c>
      <c r="B76" s="55"/>
      <c r="C76" s="79"/>
      <c r="D76" s="70">
        <v>1.4E-3</v>
      </c>
      <c r="E76" s="70">
        <v>2.0999999999999999E-3</v>
      </c>
    </row>
    <row r="77" spans="1:5" s="5" customFormat="1" ht="33" customHeight="1" x14ac:dyDescent="0.25">
      <c r="A77" s="73" t="s">
        <v>116</v>
      </c>
      <c r="B77" s="55"/>
      <c r="C77" s="79"/>
      <c r="D77" s="75">
        <f>SUM(D74:D76)</f>
        <v>9.8600000000000007E-2</v>
      </c>
      <c r="E77" s="75">
        <f>SUM(E74:E76)</f>
        <v>0.14779999999999999</v>
      </c>
    </row>
    <row r="78" spans="1:5" s="5" customFormat="1" ht="35.25" customHeight="1" x14ac:dyDescent="0.25">
      <c r="A78" s="12"/>
      <c r="B78" s="12"/>
      <c r="C78" s="81"/>
      <c r="D78" s="82"/>
      <c r="E78" s="6"/>
    </row>
    <row r="79" spans="1:5" s="5" customFormat="1" ht="35.25" customHeight="1" x14ac:dyDescent="0.25">
      <c r="A79" s="12"/>
      <c r="B79" s="12"/>
      <c r="C79" s="83"/>
      <c r="D79" s="64"/>
      <c r="E79" s="12"/>
    </row>
    <row r="80" spans="1:5" s="5" customFormat="1" ht="35.25" customHeight="1" x14ac:dyDescent="0.25">
      <c r="A80" s="508" t="s">
        <v>117</v>
      </c>
      <c r="B80" s="509"/>
      <c r="C80" s="509"/>
      <c r="D80" s="510"/>
      <c r="E80" s="12"/>
    </row>
    <row r="81" spans="1:8" s="5" customFormat="1" ht="42" customHeight="1" x14ac:dyDescent="0.25">
      <c r="A81" s="511" t="s">
        <v>118</v>
      </c>
      <c r="B81" s="512"/>
      <c r="C81" s="84" t="s">
        <v>119</v>
      </c>
      <c r="D81" s="84" t="s">
        <v>120</v>
      </c>
      <c r="E81" s="12"/>
    </row>
    <row r="82" spans="1:8" s="5" customFormat="1" ht="35.25" customHeight="1" x14ac:dyDescent="0.25">
      <c r="A82" s="513" t="s">
        <v>121</v>
      </c>
      <c r="B82" s="514"/>
      <c r="C82" s="85" t="s">
        <v>122</v>
      </c>
      <c r="D82" s="86">
        <v>3.2000000000000001E-2</v>
      </c>
      <c r="E82" s="12"/>
      <c r="H82"/>
    </row>
    <row r="83" spans="1:8" s="5" customFormat="1" ht="35.25" customHeight="1" x14ac:dyDescent="0.25">
      <c r="A83" s="513" t="s">
        <v>123</v>
      </c>
      <c r="B83" s="514"/>
      <c r="C83" s="85" t="s">
        <v>122</v>
      </c>
      <c r="D83" s="86">
        <v>3.2000000000000001E-2</v>
      </c>
      <c r="E83" s="12"/>
      <c r="H83"/>
    </row>
    <row r="84" spans="1:8" ht="47.25" customHeight="1" x14ac:dyDescent="0.25">
      <c r="A84" s="504" t="s">
        <v>124</v>
      </c>
      <c r="B84" s="504"/>
      <c r="C84" s="85" t="s">
        <v>125</v>
      </c>
      <c r="D84" s="85" t="s">
        <v>125</v>
      </c>
    </row>
    <row r="85" spans="1:8" ht="35.25" customHeight="1" x14ac:dyDescent="0.25">
      <c r="A85" s="505"/>
      <c r="B85" s="505"/>
      <c r="C85" s="87"/>
    </row>
    <row r="86" spans="1:8" ht="35.25" customHeight="1" x14ac:dyDescent="0.25">
      <c r="A86" s="89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3"/>
    </row>
  </sheetData>
  <mergeCells count="70">
    <mergeCell ref="A50:B50"/>
    <mergeCell ref="A51:B51"/>
    <mergeCell ref="A52:B52"/>
    <mergeCell ref="A54:B54"/>
    <mergeCell ref="A55:B55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84:B84"/>
    <mergeCell ref="A85:B85"/>
    <mergeCell ref="B66:C66"/>
    <mergeCell ref="D66:E66"/>
    <mergeCell ref="A80:D80"/>
    <mergeCell ref="A81:B81"/>
    <mergeCell ref="A82:B82"/>
    <mergeCell ref="A45:B45"/>
    <mergeCell ref="A46:B46"/>
    <mergeCell ref="A47:B47"/>
    <mergeCell ref="A48:B48"/>
    <mergeCell ref="A49:D49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E5:E6"/>
    <mergeCell ref="A6:B6"/>
    <mergeCell ref="A1:B1"/>
    <mergeCell ref="A2:B2"/>
    <mergeCell ref="A3:B3"/>
    <mergeCell ref="A4:B4"/>
    <mergeCell ref="A5:B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297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1" t="s">
        <v>291</v>
      </c>
      <c r="D6" s="91" t="s">
        <v>25</v>
      </c>
      <c r="E6" s="91"/>
      <c r="J6" s="138"/>
      <c r="K6" s="160"/>
    </row>
    <row r="7" spans="2:11" ht="14.25" customHeight="1" x14ac:dyDescent="0.25">
      <c r="B7" s="174">
        <v>0</v>
      </c>
      <c r="C7" s="174"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74">
        <f>C7</f>
        <v>1620</v>
      </c>
      <c r="C8" s="174">
        <v>1683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74">
        <f>C8</f>
        <v>1683</v>
      </c>
      <c r="C9" s="174">
        <v>1791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74">
        <f>C9</f>
        <v>1791</v>
      </c>
      <c r="C10" s="174">
        <v>1911</v>
      </c>
      <c r="D10" s="99">
        <v>2.1000000000000001E-2</v>
      </c>
      <c r="E10" s="99">
        <f t="shared" si="0"/>
        <v>0</v>
      </c>
      <c r="G10" s="737" t="s">
        <v>294</v>
      </c>
      <c r="H10" s="738"/>
    </row>
    <row r="11" spans="2:11" ht="14.25" customHeight="1" x14ac:dyDescent="0.25">
      <c r="B11" s="174">
        <f>C10</f>
        <v>1911</v>
      </c>
      <c r="C11" s="174">
        <v>2042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3313.4327759999996</v>
      </c>
    </row>
    <row r="12" spans="2:11" ht="14.25" customHeight="1" x14ac:dyDescent="0.25">
      <c r="B12" s="174">
        <f>C11</f>
        <v>2042</v>
      </c>
      <c r="C12" s="174">
        <v>2151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74">
        <f t="shared" ref="B13:B24" si="1">C12</f>
        <v>2151</v>
      </c>
      <c r="C13" s="174">
        <v>2294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74">
        <f t="shared" si="1"/>
        <v>2294</v>
      </c>
      <c r="C14" s="174">
        <v>2714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74">
        <f t="shared" si="1"/>
        <v>2714</v>
      </c>
      <c r="C15" s="174">
        <v>3107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74">
        <f t="shared" si="1"/>
        <v>3107</v>
      </c>
      <c r="C16" s="174">
        <v>3539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74">
        <f t="shared" si="1"/>
        <v>3539</v>
      </c>
      <c r="C17" s="174">
        <v>3983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74">
        <f t="shared" si="1"/>
        <v>3983</v>
      </c>
      <c r="C18" s="174">
        <v>4648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74">
        <f t="shared" si="1"/>
        <v>4648</v>
      </c>
      <c r="C19" s="174">
        <v>5574</v>
      </c>
      <c r="D19" s="99">
        <v>0.158</v>
      </c>
      <c r="E19" s="99">
        <f t="shared" si="0"/>
        <v>0</v>
      </c>
    </row>
    <row r="20" spans="2:11" ht="14.25" customHeight="1" x14ac:dyDescent="0.25">
      <c r="B20" s="174">
        <f t="shared" si="1"/>
        <v>5574</v>
      </c>
      <c r="C20" s="174">
        <v>6974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74">
        <f t="shared" si="1"/>
        <v>6974</v>
      </c>
      <c r="C21" s="174">
        <v>8711</v>
      </c>
      <c r="D21" s="99">
        <v>0.2</v>
      </c>
      <c r="E21" s="99">
        <f t="shared" si="0"/>
        <v>0</v>
      </c>
    </row>
    <row r="22" spans="2:11" ht="14.25" customHeight="1" x14ac:dyDescent="0.25">
      <c r="B22" s="174">
        <f t="shared" si="1"/>
        <v>8711</v>
      </c>
      <c r="C22" s="174">
        <v>12091</v>
      </c>
      <c r="D22" s="99">
        <v>0.24</v>
      </c>
      <c r="E22" s="99">
        <f t="shared" si="0"/>
        <v>0</v>
      </c>
    </row>
    <row r="23" spans="2:11" ht="14.25" customHeight="1" x14ac:dyDescent="0.25">
      <c r="B23" s="174">
        <f t="shared" si="1"/>
        <v>12091</v>
      </c>
      <c r="C23" s="174">
        <v>16376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74">
        <f t="shared" si="1"/>
        <v>16376</v>
      </c>
      <c r="C24" s="174">
        <v>25706</v>
      </c>
      <c r="D24" s="99">
        <v>0.33</v>
      </c>
      <c r="E24" s="99">
        <f t="shared" si="0"/>
        <v>0</v>
      </c>
    </row>
    <row r="25" spans="2:11" ht="14.25" customHeight="1" x14ac:dyDescent="0.25">
      <c r="B25" s="174">
        <f>C24</f>
        <v>25706</v>
      </c>
      <c r="C25" s="174">
        <v>55062</v>
      </c>
      <c r="D25" s="99">
        <v>0.38</v>
      </c>
      <c r="E25" s="99">
        <f t="shared" si="0"/>
        <v>0</v>
      </c>
    </row>
    <row r="26" spans="2:11" ht="14.25" customHeight="1" x14ac:dyDescent="0.25">
      <c r="B26" s="174">
        <f>C25</f>
        <v>55062</v>
      </c>
      <c r="C26" s="174"/>
      <c r="D26" s="99">
        <v>0.43</v>
      </c>
      <c r="E26" s="99">
        <f t="shared" si="0"/>
        <v>0</v>
      </c>
    </row>
    <row r="27" spans="2:11" ht="14.25" customHeight="1" x14ac:dyDescent="0.25">
      <c r="B27" s="144"/>
      <c r="C27" s="144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B29" s="175" t="s">
        <v>298</v>
      </c>
      <c r="C29" s="175"/>
      <c r="J29" s="667"/>
      <c r="K29" s="667"/>
    </row>
    <row r="30" spans="2:11" ht="14.25" hidden="1" customHeight="1" x14ac:dyDescent="0.25">
      <c r="D30" s="91" t="s">
        <v>25</v>
      </c>
      <c r="E30" s="91"/>
      <c r="K30" s="166"/>
    </row>
    <row r="31" spans="2:11" ht="14.25" hidden="1" customHeight="1" x14ac:dyDescent="0.25"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D32" s="170">
        <v>5.0000000000000001E-3</v>
      </c>
      <c r="E32" s="165">
        <f t="shared" si="2"/>
        <v>0</v>
      </c>
      <c r="F32" s="171"/>
    </row>
    <row r="33" spans="4:7" ht="14.25" hidden="1" customHeight="1" x14ac:dyDescent="0.25"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4:7" ht="14.25" hidden="1" customHeight="1" x14ac:dyDescent="0.25">
      <c r="D34" s="165">
        <v>2.1000000000000001E-2</v>
      </c>
      <c r="E34" s="165">
        <f t="shared" si="2"/>
        <v>0</v>
      </c>
      <c r="F34" s="171"/>
      <c r="G34" s="163"/>
    </row>
    <row r="35" spans="4:7" ht="14.25" hidden="1" customHeight="1" x14ac:dyDescent="0.25">
      <c r="D35" s="165">
        <v>2.9000000000000001E-2</v>
      </c>
      <c r="E35" s="165">
        <f t="shared" si="2"/>
        <v>0</v>
      </c>
      <c r="F35" s="171"/>
      <c r="G35" s="164"/>
    </row>
    <row r="36" spans="4:7" ht="14.25" hidden="1" customHeight="1" x14ac:dyDescent="0.25">
      <c r="D36" s="165">
        <v>3.5000000000000003E-2</v>
      </c>
      <c r="E36" s="165">
        <f t="shared" si="2"/>
        <v>0</v>
      </c>
      <c r="F36" s="171"/>
    </row>
    <row r="37" spans="4:7" ht="14.25" hidden="1" customHeight="1" x14ac:dyDescent="0.25">
      <c r="D37" s="165">
        <v>4.1000000000000002E-2</v>
      </c>
      <c r="E37" s="165">
        <f t="shared" si="2"/>
        <v>0</v>
      </c>
      <c r="F37" s="171"/>
    </row>
    <row r="38" spans="4:7" ht="14.25" hidden="1" customHeight="1" x14ac:dyDescent="0.25">
      <c r="D38" s="165">
        <v>5.2999999999999999E-2</v>
      </c>
      <c r="E38" s="165">
        <f t="shared" si="2"/>
        <v>0</v>
      </c>
      <c r="F38" s="171"/>
    </row>
    <row r="39" spans="4:7" ht="14.25" hidden="1" customHeight="1" x14ac:dyDescent="0.25">
      <c r="D39" s="165">
        <v>7.4999999999999997E-2</v>
      </c>
      <c r="E39" s="165">
        <f t="shared" si="2"/>
        <v>0</v>
      </c>
      <c r="F39" s="171"/>
    </row>
    <row r="40" spans="4:7" ht="14.25" hidden="1" customHeight="1" x14ac:dyDescent="0.25">
      <c r="D40" s="165">
        <v>9.9000000000000005E-2</v>
      </c>
      <c r="E40" s="165">
        <f t="shared" si="2"/>
        <v>0</v>
      </c>
      <c r="F40" s="171"/>
    </row>
    <row r="41" spans="4:7" ht="14.25" hidden="1" customHeight="1" x14ac:dyDescent="0.25">
      <c r="D41" s="165">
        <v>0.11899999999999999</v>
      </c>
      <c r="E41" s="165">
        <f t="shared" si="2"/>
        <v>0</v>
      </c>
      <c r="F41" s="171"/>
    </row>
    <row r="42" spans="4:7" ht="14.25" hidden="1" customHeight="1" x14ac:dyDescent="0.25">
      <c r="D42" s="165">
        <v>0.13800000000000001</v>
      </c>
      <c r="E42" s="165">
        <f t="shared" si="2"/>
        <v>0</v>
      </c>
      <c r="F42" s="171"/>
    </row>
    <row r="43" spans="4:7" ht="14.25" hidden="1" customHeight="1" x14ac:dyDescent="0.25">
      <c r="D43" s="165">
        <v>0.158</v>
      </c>
      <c r="E43" s="165">
        <f t="shared" si="2"/>
        <v>0</v>
      </c>
      <c r="F43" s="171"/>
    </row>
    <row r="44" spans="4:7" ht="14.25" hidden="1" customHeight="1" x14ac:dyDescent="0.25">
      <c r="D44" s="165">
        <v>0.17899999999999999</v>
      </c>
      <c r="E44" s="165">
        <f t="shared" si="2"/>
        <v>0</v>
      </c>
      <c r="F44" s="171"/>
    </row>
    <row r="45" spans="4:7" ht="14.25" hidden="1" customHeight="1" x14ac:dyDescent="0.25">
      <c r="D45" s="165">
        <v>0.2</v>
      </c>
      <c r="E45" s="165">
        <f t="shared" si="2"/>
        <v>0</v>
      </c>
      <c r="F45" s="171"/>
    </row>
    <row r="46" spans="4:7" ht="14.25" hidden="1" customHeight="1" x14ac:dyDescent="0.25">
      <c r="D46" s="165">
        <v>0.24</v>
      </c>
      <c r="E46" s="165">
        <f t="shared" si="2"/>
        <v>0</v>
      </c>
      <c r="F46" s="171"/>
    </row>
    <row r="47" spans="4:7" ht="14.25" hidden="1" customHeight="1" x14ac:dyDescent="0.25">
      <c r="D47" s="165">
        <v>0.28000000000000003</v>
      </c>
      <c r="E47" s="165">
        <f t="shared" si="2"/>
        <v>0</v>
      </c>
      <c r="F47" s="171"/>
    </row>
    <row r="48" spans="4:7" ht="14.25" hidden="1" customHeight="1" x14ac:dyDescent="0.25">
      <c r="D48" s="165">
        <v>0.33</v>
      </c>
      <c r="E48" s="165">
        <f t="shared" si="2"/>
        <v>0</v>
      </c>
      <c r="F48" s="171"/>
    </row>
    <row r="49" spans="4:6" ht="14.25" hidden="1" customHeight="1" x14ac:dyDescent="0.25">
      <c r="D49" s="165">
        <v>0.38</v>
      </c>
      <c r="E49" s="165">
        <f t="shared" si="2"/>
        <v>0</v>
      </c>
      <c r="F49" s="171"/>
    </row>
    <row r="50" spans="4:6" ht="14.25" hidden="1" customHeight="1" x14ac:dyDescent="0.25">
      <c r="D50" s="165">
        <v>0.43</v>
      </c>
      <c r="E50" s="165">
        <f t="shared" si="2"/>
        <v>0</v>
      </c>
      <c r="F50" s="171"/>
    </row>
    <row r="51" spans="4:6" ht="14.25" hidden="1" customHeight="1" x14ac:dyDescent="0.25">
      <c r="E51" s="165">
        <f>SUM(E31:E50)</f>
        <v>0</v>
      </c>
      <c r="F51" s="173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47"/>
  <sheetViews>
    <sheetView showGridLines="0" topLeftCell="A11" workbookViewId="0">
      <selection activeCell="D71" sqref="D71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8" customWidth="1"/>
    <col min="5" max="5" width="11.5703125" style="6"/>
    <col min="6" max="6" width="16.7109375" style="6" customWidth="1"/>
    <col min="7" max="16384" width="11.5703125" style="6"/>
  </cols>
  <sheetData>
    <row r="2" spans="2:7" x14ac:dyDescent="0.25">
      <c r="B2" s="6" t="s">
        <v>561</v>
      </c>
      <c r="D2" s="463" t="s">
        <v>574</v>
      </c>
      <c r="E2" s="6" t="s">
        <v>312</v>
      </c>
      <c r="F2" s="6" t="s">
        <v>572</v>
      </c>
      <c r="G2" s="6" t="s">
        <v>573</v>
      </c>
    </row>
    <row r="4" spans="2:7" x14ac:dyDescent="0.25">
      <c r="B4" s="6" t="s">
        <v>411</v>
      </c>
      <c r="D4" s="353" t="s">
        <v>543</v>
      </c>
    </row>
    <row r="6" spans="2:7" x14ac:dyDescent="0.25">
      <c r="B6" s="6" t="s">
        <v>388</v>
      </c>
      <c r="D6" s="353">
        <v>3212</v>
      </c>
    </row>
    <row r="8" spans="2:7" x14ac:dyDescent="0.25">
      <c r="B8" s="354" t="s">
        <v>410</v>
      </c>
      <c r="D8" s="353">
        <v>8</v>
      </c>
    </row>
    <row r="9" spans="2:7" x14ac:dyDescent="0.25">
      <c r="B9" s="354"/>
    </row>
    <row r="10" spans="2:7" x14ac:dyDescent="0.25">
      <c r="B10" s="6" t="s">
        <v>412</v>
      </c>
      <c r="D10" s="352" t="s">
        <v>544</v>
      </c>
    </row>
    <row r="12" spans="2:7" x14ac:dyDescent="0.25">
      <c r="B12" s="6" t="s">
        <v>414</v>
      </c>
      <c r="D12" s="352" t="s">
        <v>469</v>
      </c>
    </row>
    <row r="14" spans="2:7" x14ac:dyDescent="0.25">
      <c r="B14" s="6" t="s">
        <v>413</v>
      </c>
      <c r="D14" s="352">
        <v>22</v>
      </c>
    </row>
    <row r="15" spans="2:7" x14ac:dyDescent="0.25">
      <c r="D15" s="6"/>
    </row>
    <row r="16" spans="2:7" x14ac:dyDescent="0.25">
      <c r="B16" s="6" t="s">
        <v>397</v>
      </c>
      <c r="D16" s="352">
        <v>151.66999999999999</v>
      </c>
      <c r="E16" s="6" t="s">
        <v>396</v>
      </c>
    </row>
    <row r="17" spans="2:12" x14ac:dyDescent="0.25">
      <c r="B17" s="6" t="s">
        <v>570</v>
      </c>
      <c r="D17" s="352">
        <v>8</v>
      </c>
    </row>
    <row r="19" spans="2:12" x14ac:dyDescent="0.25">
      <c r="B19" s="360" t="s">
        <v>316</v>
      </c>
      <c r="C19" s="6" t="s">
        <v>326</v>
      </c>
      <c r="D19" s="352" t="s">
        <v>445</v>
      </c>
      <c r="E19" s="6">
        <v>7</v>
      </c>
      <c r="F19" s="6" t="s">
        <v>407</v>
      </c>
      <c r="G19" s="6" t="s">
        <v>408</v>
      </c>
      <c r="H19" s="6" t="s">
        <v>409</v>
      </c>
    </row>
    <row r="20" spans="2:12" x14ac:dyDescent="0.25">
      <c r="D20" s="352" t="s">
        <v>327</v>
      </c>
      <c r="E20" s="6">
        <v>7</v>
      </c>
    </row>
    <row r="22" spans="2:12" hidden="1" x14ac:dyDescent="0.25">
      <c r="B22" s="6" t="s">
        <v>472</v>
      </c>
      <c r="E22" s="352"/>
      <c r="F22" s="6" t="s">
        <v>160</v>
      </c>
      <c r="G22" s="6" t="s">
        <v>473</v>
      </c>
    </row>
    <row r="23" spans="2:12" hidden="1" x14ac:dyDescent="0.25">
      <c r="B23" s="6" t="s">
        <v>475</v>
      </c>
      <c r="E23" s="138"/>
      <c r="F23" s="6" t="s">
        <v>160</v>
      </c>
      <c r="G23" s="354" t="s">
        <v>474</v>
      </c>
    </row>
    <row r="24" spans="2:12" x14ac:dyDescent="0.25">
      <c r="G24" s="354"/>
    </row>
    <row r="25" spans="2:12" x14ac:dyDescent="0.25">
      <c r="D25" s="352" t="s">
        <v>545</v>
      </c>
    </row>
    <row r="26" spans="2:12" x14ac:dyDescent="0.25">
      <c r="J26" s="138"/>
      <c r="K26" s="138"/>
      <c r="L26" s="138"/>
    </row>
    <row r="27" spans="2:12" hidden="1" x14ac:dyDescent="0.25">
      <c r="B27" s="6" t="s">
        <v>470</v>
      </c>
      <c r="D27" s="353"/>
    </row>
    <row r="28" spans="2:12" hidden="1" x14ac:dyDescent="0.25">
      <c r="D28" s="6"/>
    </row>
    <row r="29" spans="2:12" hidden="1" x14ac:dyDescent="0.25">
      <c r="B29" s="6" t="s">
        <v>150</v>
      </c>
    </row>
    <row r="30" spans="2:12" x14ac:dyDescent="0.25">
      <c r="B30" s="6" t="s">
        <v>150</v>
      </c>
      <c r="D30" s="352" t="s">
        <v>568</v>
      </c>
    </row>
    <row r="31" spans="2:12" x14ac:dyDescent="0.25">
      <c r="B31" s="6" t="s">
        <v>546</v>
      </c>
    </row>
    <row r="32" spans="2:12" x14ac:dyDescent="0.25">
      <c r="B32" s="6" t="s">
        <v>157</v>
      </c>
      <c r="D32" s="362"/>
    </row>
    <row r="33" spans="2:14" x14ac:dyDescent="0.25">
      <c r="N33" s="166"/>
    </row>
    <row r="34" spans="2:14" x14ac:dyDescent="0.25">
      <c r="B34" s="6" t="s">
        <v>264</v>
      </c>
      <c r="D34" s="355">
        <v>48622</v>
      </c>
      <c r="E34" s="6" t="s">
        <v>548</v>
      </c>
      <c r="N34" s="166"/>
    </row>
    <row r="35" spans="2:14" x14ac:dyDescent="0.25">
      <c r="N35" s="166"/>
    </row>
    <row r="36" spans="2:14" x14ac:dyDescent="0.25">
      <c r="B36" s="6" t="s">
        <v>547</v>
      </c>
      <c r="D36" s="138">
        <f>D34/(151.67+17.33*1.25)</f>
        <v>280.5128870811879</v>
      </c>
      <c r="E36" s="6">
        <v>151.66999999999999</v>
      </c>
      <c r="F36" s="360">
        <f>ROUND(D34/12,2)</f>
        <v>4051.83</v>
      </c>
      <c r="N36" s="166"/>
    </row>
    <row r="37" spans="2:14" x14ac:dyDescent="0.25">
      <c r="D37" s="138">
        <f>D36*1.25</f>
        <v>350.64110885148489</v>
      </c>
      <c r="F37" s="360">
        <f>ROUND(D37*E37,2)</f>
        <v>0</v>
      </c>
      <c r="N37" s="166"/>
    </row>
    <row r="38" spans="2:14" x14ac:dyDescent="0.25">
      <c r="F38" s="6">
        <f>SUM(F36:F37)</f>
        <v>4051.83</v>
      </c>
      <c r="N38" s="166"/>
    </row>
    <row r="39" spans="2:14" hidden="1" x14ac:dyDescent="0.25">
      <c r="N39" s="166"/>
    </row>
    <row r="40" spans="2:14" hidden="1" x14ac:dyDescent="0.25">
      <c r="N40" s="166"/>
    </row>
    <row r="41" spans="2:14" hidden="1" x14ac:dyDescent="0.25">
      <c r="E41" s="364"/>
      <c r="N41" s="166"/>
    </row>
    <row r="42" spans="2:14" hidden="1" x14ac:dyDescent="0.25">
      <c r="D42" s="6"/>
      <c r="N42" s="166"/>
    </row>
    <row r="43" spans="2:14" hidden="1" x14ac:dyDescent="0.25">
      <c r="E43" s="364"/>
      <c r="N43" s="166"/>
    </row>
    <row r="44" spans="2:14" hidden="1" x14ac:dyDescent="0.25">
      <c r="B44" s="6" t="s">
        <v>457</v>
      </c>
      <c r="E44" s="355"/>
      <c r="N44" s="166"/>
    </row>
    <row r="45" spans="2:14" hidden="1" x14ac:dyDescent="0.25"/>
    <row r="46" spans="2:14" hidden="1" x14ac:dyDescent="0.25">
      <c r="B46" s="6" t="s">
        <v>171</v>
      </c>
      <c r="D46" s="352"/>
    </row>
    <row r="47" spans="2:14" hidden="1" x14ac:dyDescent="0.25"/>
    <row r="48" spans="2:14" ht="28.9" hidden="1" customHeight="1" x14ac:dyDescent="0.25">
      <c r="C48" s="356"/>
      <c r="D48" s="356"/>
      <c r="E48" s="356">
        <f>C48*D48</f>
        <v>0</v>
      </c>
    </row>
    <row r="49" spans="1:6" hidden="1" x14ac:dyDescent="0.25"/>
    <row r="50" spans="1:6" hidden="1" x14ac:dyDescent="0.25">
      <c r="B50" s="6" t="s">
        <v>423</v>
      </c>
    </row>
    <row r="51" spans="1:6" hidden="1" x14ac:dyDescent="0.25">
      <c r="A51" s="353"/>
      <c r="B51" s="6" t="s">
        <v>424</v>
      </c>
    </row>
    <row r="52" spans="1:6" hidden="1" x14ac:dyDescent="0.25">
      <c r="B52" s="6" t="s">
        <v>420</v>
      </c>
    </row>
    <row r="53" spans="1:6" x14ac:dyDescent="0.25">
      <c r="B53" s="6" t="s">
        <v>539</v>
      </c>
    </row>
    <row r="54" spans="1:6" x14ac:dyDescent="0.25">
      <c r="B54" s="6" t="s">
        <v>398</v>
      </c>
      <c r="D54" s="353">
        <f>'TABLE DES TAUX 2026'!C50</f>
        <v>4005</v>
      </c>
    </row>
    <row r="56" spans="1:6" x14ac:dyDescent="0.25">
      <c r="B56" s="6" t="s">
        <v>392</v>
      </c>
      <c r="D56" s="357">
        <v>0.21</v>
      </c>
    </row>
    <row r="58" spans="1:6" x14ac:dyDescent="0.25">
      <c r="B58" s="6" t="s">
        <v>128</v>
      </c>
      <c r="C58" s="364"/>
      <c r="D58" s="355">
        <f>D16+E22</f>
        <v>151.66999999999999</v>
      </c>
      <c r="E58" s="364"/>
    </row>
    <row r="59" spans="1:6" x14ac:dyDescent="0.25">
      <c r="B59" s="362"/>
      <c r="C59" s="362"/>
      <c r="D59" s="362"/>
      <c r="E59" s="362"/>
    </row>
    <row r="60" spans="1:6" x14ac:dyDescent="0.25">
      <c r="B60" s="364" t="s">
        <v>557</v>
      </c>
      <c r="C60" s="362"/>
      <c r="D60" s="362"/>
      <c r="E60" s="357">
        <v>1.2999999999999999E-3</v>
      </c>
      <c r="F60" s="6" t="s">
        <v>575</v>
      </c>
    </row>
    <row r="61" spans="1:6" ht="15" customHeight="1" x14ac:dyDescent="0.25">
      <c r="B61" s="364"/>
      <c r="C61" s="362"/>
      <c r="D61" s="362"/>
      <c r="E61" s="169"/>
    </row>
    <row r="62" spans="1:6" hidden="1" x14ac:dyDescent="0.25">
      <c r="B62" s="362" t="s">
        <v>446</v>
      </c>
      <c r="C62" s="362"/>
      <c r="D62" s="362"/>
      <c r="E62" s="362"/>
    </row>
    <row r="63" spans="1:6" hidden="1" x14ac:dyDescent="0.25"/>
    <row r="64" spans="1:6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1" spans="2:6" x14ac:dyDescent="0.25">
      <c r="B71" s="6" t="s">
        <v>415</v>
      </c>
      <c r="D71" s="358">
        <v>7.1000000000000004E-3</v>
      </c>
    </row>
    <row r="72" spans="2:6" ht="15" customHeight="1" x14ac:dyDescent="0.25"/>
    <row r="73" spans="2:6" hidden="1" x14ac:dyDescent="0.25">
      <c r="B73" s="6" t="s">
        <v>416</v>
      </c>
    </row>
    <row r="74" spans="2:6" ht="1.1499999999999999" customHeight="1" x14ac:dyDescent="0.25"/>
    <row r="75" spans="2:6" x14ac:dyDescent="0.25">
      <c r="B75" s="6" t="s">
        <v>417</v>
      </c>
      <c r="D75" s="139" t="s">
        <v>24</v>
      </c>
      <c r="E75" s="139" t="s">
        <v>23</v>
      </c>
    </row>
    <row r="76" spans="2:6" x14ac:dyDescent="0.25">
      <c r="D76" s="358">
        <v>1.12E-2</v>
      </c>
      <c r="E76" s="357">
        <v>1.12E-2</v>
      </c>
      <c r="F76" s="6" t="s">
        <v>549</v>
      </c>
    </row>
    <row r="77" spans="2:6" x14ac:dyDescent="0.25">
      <c r="C77" s="160"/>
      <c r="D77" s="160"/>
      <c r="E77" s="357">
        <v>1.4999999999999999E-2</v>
      </c>
      <c r="F77" s="6" t="s">
        <v>550</v>
      </c>
    </row>
    <row r="78" spans="2:6" x14ac:dyDescent="0.25">
      <c r="C78" s="160"/>
      <c r="D78" s="160"/>
      <c r="E78" s="169"/>
    </row>
    <row r="79" spans="2:6" x14ac:dyDescent="0.25">
      <c r="B79" s="6" t="s">
        <v>540</v>
      </c>
      <c r="C79" s="160"/>
      <c r="D79" s="358">
        <v>3.2000000000000001E-2</v>
      </c>
      <c r="E79" s="169"/>
    </row>
    <row r="80" spans="2:6" x14ac:dyDescent="0.25">
      <c r="C80" s="160"/>
      <c r="D80" s="160"/>
      <c r="E80" s="169"/>
    </row>
    <row r="81" spans="1:10" x14ac:dyDescent="0.25">
      <c r="C81" s="352" t="s">
        <v>179</v>
      </c>
      <c r="D81" s="160"/>
      <c r="E81" s="169"/>
    </row>
    <row r="82" spans="1:10" x14ac:dyDescent="0.25">
      <c r="B82" s="6" t="s">
        <v>447</v>
      </c>
      <c r="C82" s="360">
        <v>100</v>
      </c>
      <c r="D82" s="358">
        <v>0.5</v>
      </c>
      <c r="E82" s="357">
        <v>0.5</v>
      </c>
    </row>
    <row r="84" spans="1:10" x14ac:dyDescent="0.25">
      <c r="B84" s="6" t="s">
        <v>559</v>
      </c>
    </row>
    <row r="85" spans="1:10" x14ac:dyDescent="0.25">
      <c r="B85" s="6" t="s">
        <v>558</v>
      </c>
    </row>
    <row r="86" spans="1:10" x14ac:dyDescent="0.25">
      <c r="A86" s="412"/>
      <c r="B86" s="412" t="s">
        <v>425</v>
      </c>
      <c r="C86" s="412"/>
      <c r="D86" s="413"/>
      <c r="E86" s="412"/>
      <c r="F86" s="412"/>
      <c r="G86" s="412"/>
      <c r="H86" s="412"/>
      <c r="I86" s="412"/>
    </row>
    <row r="87" spans="1:10" x14ac:dyDescent="0.25">
      <c r="A87" s="412"/>
      <c r="B87" s="412"/>
      <c r="C87" s="412"/>
      <c r="D87" s="413"/>
      <c r="E87" s="412"/>
      <c r="F87" s="412"/>
      <c r="G87" s="412"/>
      <c r="H87" s="412"/>
      <c r="I87" s="412"/>
    </row>
    <row r="88" spans="1:10" x14ac:dyDescent="0.25">
      <c r="A88" s="412"/>
      <c r="B88" s="412"/>
      <c r="C88" s="412" t="s">
        <v>426</v>
      </c>
      <c r="D88" s="413">
        <v>1</v>
      </c>
      <c r="E88" s="412" t="s">
        <v>428</v>
      </c>
      <c r="F88" s="412"/>
      <c r="G88" s="412"/>
      <c r="H88" s="412"/>
      <c r="I88" s="412"/>
    </row>
    <row r="89" spans="1:10" x14ac:dyDescent="0.25">
      <c r="A89" s="412"/>
      <c r="B89" s="412"/>
      <c r="C89" s="412" t="s">
        <v>427</v>
      </c>
      <c r="D89" s="414">
        <v>7.0000000000000007E-2</v>
      </c>
      <c r="E89" s="412" t="s">
        <v>508</v>
      </c>
      <c r="F89" s="412"/>
      <c r="G89" s="412"/>
      <c r="H89" s="412"/>
      <c r="I89" s="412"/>
    </row>
    <row r="90" spans="1:10" x14ac:dyDescent="0.25">
      <c r="A90" s="412"/>
      <c r="B90" s="412"/>
      <c r="C90" s="412"/>
      <c r="D90" s="413"/>
      <c r="E90" s="412"/>
      <c r="F90" s="412"/>
      <c r="G90" s="412"/>
      <c r="H90" s="412"/>
      <c r="I90" s="412"/>
    </row>
    <row r="91" spans="1:10" x14ac:dyDescent="0.25">
      <c r="B91" s="6" t="s">
        <v>551</v>
      </c>
    </row>
    <row r="93" spans="1:10" x14ac:dyDescent="0.25">
      <c r="B93" s="360" t="s">
        <v>429</v>
      </c>
      <c r="C93" s="360"/>
      <c r="D93" s="352"/>
      <c r="E93" s="360"/>
      <c r="F93" s="360"/>
      <c r="G93" s="360"/>
      <c r="H93" s="360"/>
      <c r="I93" s="360"/>
      <c r="J93" s="360"/>
    </row>
    <row r="96" spans="1:10" x14ac:dyDescent="0.25">
      <c r="B96" s="6" t="s">
        <v>430</v>
      </c>
    </row>
    <row r="97" spans="2:5" x14ac:dyDescent="0.25">
      <c r="B97" s="6" t="s">
        <v>431</v>
      </c>
      <c r="D97" s="352" t="s">
        <v>432</v>
      </c>
      <c r="E97" s="6" t="s">
        <v>433</v>
      </c>
    </row>
    <row r="99" spans="2:5" x14ac:dyDescent="0.25">
      <c r="B99" s="6" t="s">
        <v>434</v>
      </c>
    </row>
    <row r="101" spans="2:5" x14ac:dyDescent="0.25">
      <c r="C101" s="6" t="s">
        <v>435</v>
      </c>
    </row>
    <row r="102" spans="2:5" x14ac:dyDescent="0.25">
      <c r="C102" s="6" t="s">
        <v>436</v>
      </c>
    </row>
    <row r="103" spans="2:5" x14ac:dyDescent="0.25">
      <c r="C103" s="6" t="s">
        <v>437</v>
      </c>
    </row>
    <row r="104" spans="2:5" x14ac:dyDescent="0.25">
      <c r="C104" s="6" t="s">
        <v>438</v>
      </c>
    </row>
    <row r="105" spans="2:5" x14ac:dyDescent="0.25">
      <c r="C105" s="6" t="s">
        <v>439</v>
      </c>
    </row>
    <row r="106" spans="2:5" x14ac:dyDescent="0.25">
      <c r="C106" s="6" t="s">
        <v>563</v>
      </c>
    </row>
    <row r="108" spans="2:5" x14ac:dyDescent="0.25">
      <c r="B108" s="6" t="s">
        <v>440</v>
      </c>
    </row>
    <row r="109" spans="2:5" x14ac:dyDescent="0.25">
      <c r="B109" s="361">
        <v>45778</v>
      </c>
    </row>
    <row r="111" spans="2:5" x14ac:dyDescent="0.25">
      <c r="B111" s="6" t="s">
        <v>441</v>
      </c>
    </row>
    <row r="112" spans="2:5" x14ac:dyDescent="0.25">
      <c r="B112" s="6" t="s">
        <v>442</v>
      </c>
    </row>
    <row r="114" spans="2:4" x14ac:dyDescent="0.25">
      <c r="B114" s="6" t="s">
        <v>443</v>
      </c>
    </row>
    <row r="117" spans="2:4" x14ac:dyDescent="0.25">
      <c r="B117" s="377">
        <v>46266</v>
      </c>
      <c r="C117" s="378" t="s">
        <v>564</v>
      </c>
      <c r="D117" s="139">
        <v>7</v>
      </c>
    </row>
    <row r="118" spans="2:4" x14ac:dyDescent="0.25">
      <c r="B118" s="377">
        <v>46267</v>
      </c>
      <c r="C118" s="378" t="s">
        <v>450</v>
      </c>
      <c r="D118" s="139">
        <v>7</v>
      </c>
    </row>
    <row r="119" spans="2:4" x14ac:dyDescent="0.25">
      <c r="B119" s="377">
        <v>46268</v>
      </c>
      <c r="C119" s="378" t="s">
        <v>451</v>
      </c>
      <c r="D119" s="139">
        <v>7</v>
      </c>
    </row>
    <row r="120" spans="2:4" x14ac:dyDescent="0.25">
      <c r="B120" s="377">
        <v>46269</v>
      </c>
      <c r="C120" s="378" t="s">
        <v>452</v>
      </c>
      <c r="D120" s="139">
        <v>7</v>
      </c>
    </row>
    <row r="121" spans="2:4" x14ac:dyDescent="0.25">
      <c r="B121" s="377">
        <v>46270</v>
      </c>
      <c r="C121" s="378" t="s">
        <v>453</v>
      </c>
      <c r="D121" s="139"/>
    </row>
    <row r="122" spans="2:4" x14ac:dyDescent="0.25">
      <c r="B122" s="377">
        <v>46271</v>
      </c>
      <c r="C122" s="378" t="s">
        <v>454</v>
      </c>
      <c r="D122" s="139"/>
    </row>
    <row r="123" spans="2:4" x14ac:dyDescent="0.25">
      <c r="B123" s="377">
        <v>46272</v>
      </c>
      <c r="C123" s="378" t="s">
        <v>455</v>
      </c>
      <c r="D123" s="139">
        <v>7</v>
      </c>
    </row>
    <row r="124" spans="2:4" x14ac:dyDescent="0.25">
      <c r="B124" s="377">
        <v>46273</v>
      </c>
      <c r="C124" s="378" t="s">
        <v>449</v>
      </c>
      <c r="D124" s="139">
        <v>7</v>
      </c>
    </row>
    <row r="125" spans="2:4" x14ac:dyDescent="0.25">
      <c r="B125" s="377">
        <v>46274</v>
      </c>
      <c r="C125" s="378" t="s">
        <v>450</v>
      </c>
      <c r="D125" s="139">
        <v>7</v>
      </c>
    </row>
    <row r="126" spans="2:4" x14ac:dyDescent="0.25">
      <c r="B126" s="377">
        <v>46275</v>
      </c>
      <c r="C126" s="378" t="s">
        <v>451</v>
      </c>
      <c r="D126" s="139">
        <v>7</v>
      </c>
    </row>
    <row r="127" spans="2:4" x14ac:dyDescent="0.25">
      <c r="B127" s="377">
        <v>46276</v>
      </c>
      <c r="C127" s="378" t="s">
        <v>452</v>
      </c>
      <c r="D127" s="139">
        <v>7</v>
      </c>
    </row>
    <row r="128" spans="2:4" x14ac:dyDescent="0.25">
      <c r="B128" s="377">
        <v>46277</v>
      </c>
      <c r="C128" s="378" t="s">
        <v>453</v>
      </c>
      <c r="D128" s="139"/>
    </row>
    <row r="129" spans="2:4" x14ac:dyDescent="0.25">
      <c r="B129" s="377">
        <v>46278</v>
      </c>
      <c r="C129" s="378" t="s">
        <v>454</v>
      </c>
      <c r="D129" s="139"/>
    </row>
    <row r="130" spans="2:4" x14ac:dyDescent="0.25">
      <c r="B130" s="377">
        <v>46279</v>
      </c>
      <c r="C130" s="378" t="s">
        <v>455</v>
      </c>
      <c r="D130" s="139">
        <v>7</v>
      </c>
    </row>
    <row r="131" spans="2:4" x14ac:dyDescent="0.25">
      <c r="B131" s="377">
        <v>46280</v>
      </c>
      <c r="C131" s="378" t="s">
        <v>449</v>
      </c>
      <c r="D131" s="139">
        <v>7</v>
      </c>
    </row>
    <row r="132" spans="2:4" x14ac:dyDescent="0.25">
      <c r="B132" s="377">
        <v>46281</v>
      </c>
      <c r="C132" s="378" t="s">
        <v>450</v>
      </c>
      <c r="D132" s="139">
        <v>7</v>
      </c>
    </row>
    <row r="133" spans="2:4" x14ac:dyDescent="0.25">
      <c r="B133" s="377">
        <v>46282</v>
      </c>
      <c r="C133" s="378" t="s">
        <v>451</v>
      </c>
      <c r="D133" s="139">
        <v>7</v>
      </c>
    </row>
    <row r="134" spans="2:4" x14ac:dyDescent="0.25">
      <c r="B134" s="377">
        <v>46283</v>
      </c>
      <c r="C134" s="378" t="s">
        <v>452</v>
      </c>
      <c r="D134" s="139">
        <v>7</v>
      </c>
    </row>
    <row r="135" spans="2:4" x14ac:dyDescent="0.25">
      <c r="B135" s="377">
        <v>46284</v>
      </c>
      <c r="C135" s="378" t="s">
        <v>453</v>
      </c>
      <c r="D135" s="139"/>
    </row>
    <row r="136" spans="2:4" x14ac:dyDescent="0.25">
      <c r="B136" s="377">
        <v>46285</v>
      </c>
      <c r="C136" s="378" t="s">
        <v>454</v>
      </c>
      <c r="D136" s="139"/>
    </row>
    <row r="137" spans="2:4" x14ac:dyDescent="0.25">
      <c r="B137" s="377">
        <v>46286</v>
      </c>
      <c r="C137" s="378" t="s">
        <v>455</v>
      </c>
      <c r="D137" s="139">
        <v>7</v>
      </c>
    </row>
    <row r="138" spans="2:4" x14ac:dyDescent="0.25">
      <c r="B138" s="377">
        <v>46287</v>
      </c>
      <c r="C138" s="378" t="s">
        <v>449</v>
      </c>
      <c r="D138" s="139">
        <v>7</v>
      </c>
    </row>
    <row r="139" spans="2:4" x14ac:dyDescent="0.25">
      <c r="B139" s="377">
        <v>46288</v>
      </c>
      <c r="C139" s="378" t="s">
        <v>450</v>
      </c>
      <c r="D139" s="139">
        <v>7</v>
      </c>
    </row>
    <row r="140" spans="2:4" x14ac:dyDescent="0.25">
      <c r="B140" s="377">
        <v>46289</v>
      </c>
      <c r="C140" s="378" t="s">
        <v>451</v>
      </c>
      <c r="D140" s="139">
        <v>7</v>
      </c>
    </row>
    <row r="141" spans="2:4" x14ac:dyDescent="0.25">
      <c r="B141" s="377">
        <v>46290</v>
      </c>
      <c r="C141" s="378" t="s">
        <v>452</v>
      </c>
      <c r="D141" s="139">
        <v>7</v>
      </c>
    </row>
    <row r="142" spans="2:4" x14ac:dyDescent="0.25">
      <c r="B142" s="377">
        <v>46291</v>
      </c>
      <c r="C142" s="378" t="s">
        <v>453</v>
      </c>
      <c r="D142" s="139"/>
    </row>
    <row r="143" spans="2:4" x14ac:dyDescent="0.25">
      <c r="B143" s="377">
        <v>46292</v>
      </c>
      <c r="C143" s="378" t="s">
        <v>454</v>
      </c>
      <c r="D143" s="139"/>
    </row>
    <row r="144" spans="2:4" x14ac:dyDescent="0.25">
      <c r="B144" s="377">
        <v>46293</v>
      </c>
      <c r="C144" s="378" t="s">
        <v>455</v>
      </c>
      <c r="D144" s="139">
        <v>7</v>
      </c>
    </row>
    <row r="145" spans="2:4" x14ac:dyDescent="0.25">
      <c r="B145" s="377">
        <v>46294</v>
      </c>
      <c r="C145" s="378" t="s">
        <v>449</v>
      </c>
      <c r="D145" s="139">
        <v>7</v>
      </c>
    </row>
    <row r="146" spans="2:4" x14ac:dyDescent="0.25">
      <c r="B146" s="377">
        <v>46295</v>
      </c>
      <c r="C146" s="378" t="s">
        <v>450</v>
      </c>
      <c r="D146" s="139">
        <v>7</v>
      </c>
    </row>
    <row r="147" spans="2:4" x14ac:dyDescent="0.25">
      <c r="D147" s="139">
        <f>SUM(D117:D146)</f>
        <v>154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66" workbookViewId="0">
      <selection activeCell="H22" sqref="H22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387</v>
      </c>
    </row>
    <row r="2" spans="3:12" x14ac:dyDescent="0.25">
      <c r="C2" s="210"/>
    </row>
    <row r="3" spans="3:12" ht="12.75" customHeight="1" x14ac:dyDescent="0.25"/>
    <row r="4" spans="3:12" ht="31.9" customHeight="1" x14ac:dyDescent="0.25">
      <c r="C4" s="536" t="s">
        <v>190</v>
      </c>
      <c r="D4" s="536"/>
      <c r="E4" s="536"/>
      <c r="F4" s="536"/>
      <c r="G4" s="521" t="s">
        <v>265</v>
      </c>
      <c r="H4" s="521"/>
      <c r="I4" s="140"/>
    </row>
    <row r="5" spans="3:12" ht="31.9" customHeight="1" x14ac:dyDescent="0.25">
      <c r="C5" s="536" t="s">
        <v>191</v>
      </c>
      <c r="D5" s="536"/>
      <c r="E5" s="536"/>
      <c r="F5" s="536"/>
      <c r="G5" s="521" t="s">
        <v>566</v>
      </c>
      <c r="H5" s="521"/>
      <c r="I5" s="140"/>
    </row>
    <row r="6" spans="3:12" ht="31.9" customHeight="1" x14ac:dyDescent="0.25">
      <c r="C6" s="536" t="s">
        <v>192</v>
      </c>
      <c r="D6" s="536"/>
      <c r="E6" s="536"/>
      <c r="F6" s="536"/>
      <c r="G6" s="524">
        <v>34464426500029</v>
      </c>
      <c r="H6" s="524"/>
      <c r="I6" s="524"/>
    </row>
    <row r="7" spans="3:12" ht="31.9" customHeight="1" x14ac:dyDescent="0.25">
      <c r="C7" s="536" t="s">
        <v>193</v>
      </c>
      <c r="D7" s="536"/>
      <c r="E7" s="536"/>
      <c r="F7" s="536"/>
      <c r="G7" s="525" t="str">
        <f>'ENONCE DONNEES '!D4</f>
        <v>4211 Z</v>
      </c>
      <c r="H7" s="525"/>
      <c r="I7" s="525"/>
    </row>
    <row r="8" spans="3:12" ht="52.15" customHeight="1" x14ac:dyDescent="0.25">
      <c r="C8" s="536" t="s">
        <v>194</v>
      </c>
      <c r="D8" s="536"/>
      <c r="E8" s="536"/>
      <c r="F8" s="536"/>
      <c r="G8" s="522" t="s">
        <v>542</v>
      </c>
      <c r="H8" s="522"/>
      <c r="I8" s="522"/>
    </row>
    <row r="9" spans="3:12" ht="31.9" customHeight="1" x14ac:dyDescent="0.25">
      <c r="C9" s="537" t="s">
        <v>195</v>
      </c>
      <c r="D9" s="538"/>
      <c r="E9" s="538"/>
      <c r="F9" s="539"/>
      <c r="G9" s="523">
        <v>8</v>
      </c>
      <c r="H9" s="523"/>
      <c r="I9" s="91"/>
    </row>
    <row r="10" spans="3:12" ht="24" customHeight="1" x14ac:dyDescent="0.25">
      <c r="C10" s="526"/>
      <c r="D10" s="526"/>
      <c r="E10" s="526"/>
      <c r="F10" s="526"/>
      <c r="G10" s="527"/>
      <c r="H10" s="527"/>
    </row>
    <row r="11" spans="3:12" ht="28.5" customHeight="1" x14ac:dyDescent="0.25">
      <c r="C11" s="211"/>
      <c r="D11" s="212"/>
      <c r="E11" s="528" t="s">
        <v>179</v>
      </c>
      <c r="F11" s="528"/>
      <c r="G11" s="183" t="s">
        <v>24</v>
      </c>
      <c r="H11" s="183" t="s">
        <v>23</v>
      </c>
    </row>
    <row r="12" spans="3:12" ht="20.25" customHeight="1" x14ac:dyDescent="0.25">
      <c r="C12" s="529" t="s">
        <v>196</v>
      </c>
      <c r="D12" s="529"/>
      <c r="E12" s="530">
        <v>100</v>
      </c>
      <c r="F12" s="531"/>
      <c r="G12" s="215">
        <v>0.5</v>
      </c>
      <c r="H12" s="215">
        <v>0.5</v>
      </c>
    </row>
    <row r="13" spans="3:12" ht="20.25" customHeight="1" x14ac:dyDescent="0.25">
      <c r="C13" s="529" t="s">
        <v>478</v>
      </c>
      <c r="D13" s="529"/>
      <c r="E13" s="529" t="s">
        <v>549</v>
      </c>
      <c r="F13" s="529"/>
      <c r="G13" s="215">
        <f>+'ENONCE DONNEES '!D76</f>
        <v>1.12E-2</v>
      </c>
      <c r="H13" s="215">
        <f>+'ENONCE DONNEES '!E76</f>
        <v>1.12E-2</v>
      </c>
      <c r="L13" s="3" t="s">
        <v>309</v>
      </c>
    </row>
    <row r="14" spans="3:12" ht="23.45" customHeight="1" x14ac:dyDescent="0.25">
      <c r="C14" s="529" t="s">
        <v>478</v>
      </c>
      <c r="D14" s="529"/>
      <c r="E14" s="529" t="s">
        <v>550</v>
      </c>
      <c r="F14" s="529"/>
      <c r="G14" s="215"/>
      <c r="H14" s="215">
        <f>'ENONCE DONNEES '!E77</f>
        <v>1.4999999999999999E-2</v>
      </c>
    </row>
    <row r="15" spans="3:12" ht="20.25" customHeight="1" x14ac:dyDescent="0.25">
      <c r="C15" s="529" t="s">
        <v>373</v>
      </c>
      <c r="D15" s="529"/>
      <c r="E15" s="529"/>
      <c r="F15" s="529"/>
      <c r="G15" s="216"/>
      <c r="H15" s="217"/>
    </row>
    <row r="16" spans="3:12" ht="19.899999999999999" customHeight="1" x14ac:dyDescent="0.25">
      <c r="C16" s="529" t="s">
        <v>268</v>
      </c>
      <c r="D16" s="529"/>
      <c r="E16" s="529"/>
      <c r="F16" s="529"/>
      <c r="G16" s="218"/>
      <c r="H16" s="217"/>
    </row>
    <row r="17" spans="3:12" ht="19.899999999999999" hidden="1" customHeight="1" x14ac:dyDescent="0.25">
      <c r="C17" s="529"/>
      <c r="D17" s="529"/>
      <c r="E17" s="529"/>
      <c r="F17" s="529"/>
      <c r="G17" s="4"/>
      <c r="H17" s="4"/>
    </row>
    <row r="18" spans="3:12" ht="20.25" hidden="1" customHeight="1" x14ac:dyDescent="0.25">
      <c r="C18" s="529"/>
      <c r="D18" s="529"/>
      <c r="E18" s="529"/>
      <c r="F18" s="529"/>
      <c r="G18" s="4"/>
      <c r="H18" s="4"/>
    </row>
    <row r="19" spans="3:12" ht="20.25" hidden="1" customHeight="1" x14ac:dyDescent="0.25">
      <c r="C19" s="529"/>
      <c r="D19" s="529"/>
      <c r="E19" s="529"/>
      <c r="F19" s="529"/>
      <c r="G19" s="219"/>
      <c r="H19" s="219"/>
      <c r="L19" s="220" t="s">
        <v>198</v>
      </c>
    </row>
    <row r="20" spans="3:12" ht="20.25" hidden="1" customHeight="1" x14ac:dyDescent="0.25">
      <c r="C20" s="529"/>
      <c r="D20" s="529"/>
      <c r="E20" s="530"/>
      <c r="F20" s="531"/>
      <c r="G20" s="219"/>
      <c r="H20" s="219">
        <v>1.4999999999999999E-2</v>
      </c>
      <c r="L20" s="220"/>
    </row>
    <row r="21" spans="3:12" ht="20.25" customHeight="1" x14ac:dyDescent="0.25">
      <c r="C21" s="529" t="s">
        <v>199</v>
      </c>
      <c r="D21" s="529"/>
      <c r="E21" s="529" t="s">
        <v>197</v>
      </c>
      <c r="F21" s="529"/>
      <c r="G21" s="219"/>
      <c r="H21" s="215">
        <f>'ENONCE DONNEES '!D71</f>
        <v>7.1000000000000004E-3</v>
      </c>
    </row>
    <row r="22" spans="3:12" ht="20.25" customHeight="1" x14ac:dyDescent="0.25">
      <c r="C22" s="529" t="s">
        <v>200</v>
      </c>
      <c r="D22" s="529"/>
      <c r="E22" s="529" t="s">
        <v>197</v>
      </c>
      <c r="F22" s="529"/>
      <c r="G22" s="219"/>
      <c r="H22" s="215"/>
    </row>
    <row r="23" spans="3:12" ht="16.5" customHeight="1" x14ac:dyDescent="0.25"/>
    <row r="24" spans="3:12" x14ac:dyDescent="0.25">
      <c r="H24" s="222"/>
      <c r="L24" s="221"/>
    </row>
    <row r="25" spans="3:12" x14ac:dyDescent="0.25">
      <c r="G25" s="222"/>
      <c r="H25" s="222"/>
      <c r="L25" s="221"/>
    </row>
    <row r="26" spans="3:12" ht="21.6" customHeight="1" x14ac:dyDescent="0.25">
      <c r="C26" s="211" t="s">
        <v>201</v>
      </c>
      <c r="D26" s="223"/>
      <c r="E26" s="224" t="s">
        <v>202</v>
      </c>
    </row>
    <row r="27" spans="3:12" ht="21.6" customHeight="1" x14ac:dyDescent="0.25">
      <c r="C27" s="213" t="s">
        <v>203</v>
      </c>
      <c r="D27" s="225"/>
      <c r="E27" s="146" t="s">
        <v>204</v>
      </c>
    </row>
    <row r="28" spans="3:12" ht="33" customHeight="1" x14ac:dyDescent="0.25">
      <c r="C28" s="213" t="s">
        <v>191</v>
      </c>
      <c r="D28" s="225"/>
      <c r="E28" s="146" t="s">
        <v>567</v>
      </c>
    </row>
    <row r="29" spans="3:12" ht="21.6" customHeight="1" x14ac:dyDescent="0.25">
      <c r="C29" s="213" t="s">
        <v>205</v>
      </c>
      <c r="D29" s="225"/>
      <c r="E29" s="146" t="s">
        <v>493</v>
      </c>
    </row>
    <row r="30" spans="3:12" ht="21.6" customHeight="1" x14ac:dyDescent="0.25">
      <c r="C30" s="213" t="s">
        <v>266</v>
      </c>
      <c r="D30" s="225"/>
      <c r="E30" s="146" t="s">
        <v>576</v>
      </c>
    </row>
    <row r="31" spans="3:12" ht="21.6" customHeight="1" x14ac:dyDescent="0.25">
      <c r="C31" s="213" t="s">
        <v>471</v>
      </c>
      <c r="D31" s="225"/>
      <c r="E31" s="146" t="s">
        <v>576</v>
      </c>
    </row>
    <row r="32" spans="3:12" ht="21.6" customHeight="1" x14ac:dyDescent="0.25">
      <c r="C32" s="213" t="s">
        <v>267</v>
      </c>
      <c r="D32" s="225"/>
      <c r="E32" s="146" t="s">
        <v>568</v>
      </c>
    </row>
    <row r="33" spans="3:5" ht="21.6" customHeight="1" x14ac:dyDescent="0.25">
      <c r="C33" s="213" t="s">
        <v>206</v>
      </c>
      <c r="D33" s="225"/>
      <c r="E33" s="146" t="s">
        <v>569</v>
      </c>
    </row>
    <row r="34" spans="3:5" ht="21.6" hidden="1" customHeight="1" x14ac:dyDescent="0.25">
      <c r="C34" s="213" t="s">
        <v>207</v>
      </c>
      <c r="D34" s="225"/>
      <c r="E34" s="4"/>
    </row>
    <row r="35" spans="3:5" ht="21.6" hidden="1" customHeight="1" x14ac:dyDescent="0.25">
      <c r="C35" s="213" t="s">
        <v>208</v>
      </c>
      <c r="D35" s="225"/>
      <c r="E35" s="4"/>
    </row>
    <row r="36" spans="3:5" ht="21.6" hidden="1" customHeight="1" x14ac:dyDescent="0.25">
      <c r="C36" s="214" t="s">
        <v>209</v>
      </c>
      <c r="D36" s="226"/>
      <c r="E36" s="4"/>
    </row>
    <row r="37" spans="3:5" ht="21.6" hidden="1" customHeight="1" x14ac:dyDescent="0.25">
      <c r="C37" s="213"/>
      <c r="E37" s="4"/>
    </row>
    <row r="38" spans="3:5" ht="21.6" hidden="1" customHeight="1" x14ac:dyDescent="0.25">
      <c r="C38" s="214" t="s">
        <v>370</v>
      </c>
      <c r="D38" s="311"/>
      <c r="E38" s="146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34" t="s">
        <v>210</v>
      </c>
      <c r="D55" s="535"/>
      <c r="E55" s="224" t="str">
        <f>+E26</f>
        <v xml:space="preserve">MARTINO </v>
      </c>
    </row>
    <row r="56" spans="3:6" ht="24" customHeight="1" x14ac:dyDescent="0.25">
      <c r="C56" s="529" t="s">
        <v>211</v>
      </c>
      <c r="D56" s="529"/>
      <c r="E56" s="359">
        <v>46266</v>
      </c>
      <c r="F56" s="147"/>
    </row>
    <row r="57" spans="3:6" ht="24" customHeight="1" x14ac:dyDescent="0.25">
      <c r="C57" s="529" t="s">
        <v>212</v>
      </c>
      <c r="D57" s="529"/>
      <c r="E57" s="359">
        <v>46295</v>
      </c>
      <c r="F57" s="147"/>
    </row>
    <row r="58" spans="3:6" ht="24" customHeight="1" x14ac:dyDescent="0.25">
      <c r="C58" s="529" t="s">
        <v>213</v>
      </c>
      <c r="D58" s="529"/>
      <c r="E58" s="359">
        <v>46295</v>
      </c>
      <c r="F58" s="147"/>
    </row>
    <row r="59" spans="3:6" ht="24" customHeight="1" x14ac:dyDescent="0.25">
      <c r="C59" s="529" t="s">
        <v>5</v>
      </c>
      <c r="D59" s="529"/>
      <c r="E59" s="334">
        <f>'ENONCE DONNEES '!E40</f>
        <v>0</v>
      </c>
      <c r="F59" s="112"/>
    </row>
    <row r="60" spans="3:6" ht="24" customHeight="1" x14ac:dyDescent="0.25">
      <c r="C60" s="529" t="s">
        <v>214</v>
      </c>
      <c r="D60" s="529"/>
      <c r="E60" s="150">
        <f>'ENONCE DONNEES '!D16</f>
        <v>151.66999999999999</v>
      </c>
      <c r="F60" s="112"/>
    </row>
    <row r="61" spans="3:6" ht="24" customHeight="1" x14ac:dyDescent="0.25">
      <c r="C61" s="529" t="s">
        <v>35</v>
      </c>
      <c r="D61" s="529"/>
      <c r="E61" s="150">
        <f>'TABLE DES TAUX 2026'!C53</f>
        <v>12.02</v>
      </c>
      <c r="F61" s="112"/>
    </row>
    <row r="62" spans="3:6" ht="24" customHeight="1" x14ac:dyDescent="0.25">
      <c r="C62" s="529" t="s">
        <v>215</v>
      </c>
      <c r="D62" s="529"/>
      <c r="E62" s="150">
        <f>'TABLE DES TAUX 2026'!C50</f>
        <v>4005</v>
      </c>
      <c r="F62" s="112"/>
    </row>
    <row r="63" spans="3:6" ht="19.5" customHeight="1" x14ac:dyDescent="0.25">
      <c r="C63" s="529" t="s">
        <v>269</v>
      </c>
      <c r="D63" s="529"/>
      <c r="E63" s="150"/>
      <c r="F63" s="112"/>
    </row>
    <row r="64" spans="3:6" ht="19.5" customHeight="1" x14ac:dyDescent="0.25">
      <c r="C64" s="529" t="s">
        <v>270</v>
      </c>
      <c r="D64" s="529"/>
      <c r="E64" s="151"/>
      <c r="F64" s="112"/>
    </row>
    <row r="65" spans="2:6" ht="19.149999999999999" customHeight="1" x14ac:dyDescent="0.25">
      <c r="C65" s="529" t="s">
        <v>271</v>
      </c>
      <c r="D65" s="529"/>
      <c r="E65" s="151"/>
      <c r="F65" s="112"/>
    </row>
    <row r="66" spans="2:6" ht="19.149999999999999" customHeight="1" x14ac:dyDescent="0.25">
      <c r="C66" s="529" t="s">
        <v>39</v>
      </c>
      <c r="D66" s="529"/>
      <c r="E66" s="150">
        <v>8</v>
      </c>
      <c r="F66" s="112"/>
    </row>
    <row r="67" spans="2:6" ht="19.149999999999999" customHeight="1" x14ac:dyDescent="0.25">
      <c r="C67" s="529" t="s">
        <v>272</v>
      </c>
      <c r="D67" s="529"/>
      <c r="E67" s="150"/>
      <c r="F67" s="112"/>
    </row>
    <row r="68" spans="2:6" ht="19.149999999999999" customHeight="1" x14ac:dyDescent="0.25">
      <c r="C68" s="529" t="s">
        <v>273</v>
      </c>
      <c r="D68" s="529"/>
      <c r="E68" s="150">
        <f>SUM(E63:E67)</f>
        <v>8</v>
      </c>
      <c r="F68" s="112"/>
    </row>
    <row r="69" spans="2:6" ht="19.149999999999999" customHeight="1" x14ac:dyDescent="0.25">
      <c r="C69" s="529" t="s">
        <v>128</v>
      </c>
      <c r="D69" s="529"/>
      <c r="E69" s="150">
        <f>E60+E66+E67</f>
        <v>159.66999999999999</v>
      </c>
      <c r="F69" s="112"/>
    </row>
    <row r="70" spans="2:6" ht="19.149999999999999" hidden="1" customHeight="1" x14ac:dyDescent="0.25">
      <c r="C70" s="529" t="s">
        <v>216</v>
      </c>
      <c r="D70" s="529"/>
      <c r="E70" s="151"/>
      <c r="F70" s="112"/>
    </row>
    <row r="71" spans="2:6" ht="19.149999999999999" hidden="1" customHeight="1" x14ac:dyDescent="0.25">
      <c r="C71" s="529" t="s">
        <v>217</v>
      </c>
      <c r="D71" s="529"/>
      <c r="E71" s="151"/>
      <c r="F71" s="227"/>
    </row>
    <row r="72" spans="2:6" ht="19.149999999999999" hidden="1" customHeight="1" x14ac:dyDescent="0.25">
      <c r="C72" s="529" t="s">
        <v>218</v>
      </c>
      <c r="D72" s="529"/>
      <c r="E72" s="151"/>
      <c r="F72" s="227"/>
    </row>
    <row r="73" spans="2:6" ht="19.149999999999999" hidden="1" customHeight="1" x14ac:dyDescent="0.25">
      <c r="C73" s="529" t="s">
        <v>219</v>
      </c>
      <c r="D73" s="529"/>
      <c r="E73" s="151"/>
      <c r="F73" s="227"/>
    </row>
    <row r="74" spans="2:6" ht="19.149999999999999" hidden="1" customHeight="1" x14ac:dyDescent="0.25">
      <c r="C74" s="529"/>
      <c r="D74" s="529"/>
      <c r="E74" s="151"/>
      <c r="F74" s="227"/>
    </row>
    <row r="75" spans="2:6" ht="19.5" hidden="1" customHeight="1" x14ac:dyDescent="0.25">
      <c r="B75" s="210" t="s">
        <v>220</v>
      </c>
      <c r="C75" s="4"/>
      <c r="D75" s="4"/>
      <c r="E75" s="148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4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3" t="s">
        <v>237</v>
      </c>
      <c r="C99" s="533" t="s">
        <v>98</v>
      </c>
      <c r="D99" s="533"/>
      <c r="E99" s="152"/>
      <c r="F99" s="228">
        <v>6.8000000000000005E-2</v>
      </c>
      <c r="G99" s="152"/>
      <c r="H99" s="152"/>
      <c r="I99" s="152"/>
      <c r="J99" s="229"/>
      <c r="K99" s="229"/>
    </row>
    <row r="100" spans="1:11" ht="24" hidden="1" customHeight="1" x14ac:dyDescent="0.25">
      <c r="B100" s="153" t="s">
        <v>238</v>
      </c>
      <c r="C100" s="533" t="s">
        <v>99</v>
      </c>
      <c r="D100" s="533"/>
      <c r="E100" s="152"/>
      <c r="F100" s="228">
        <v>6.8000000000000005E-2</v>
      </c>
      <c r="G100" s="152"/>
      <c r="H100" s="152"/>
      <c r="I100" s="152"/>
      <c r="J100" s="229"/>
      <c r="K100" s="229"/>
    </row>
    <row r="101" spans="1:11" ht="24" hidden="1" customHeight="1" x14ac:dyDescent="0.25">
      <c r="B101" s="153" t="s">
        <v>239</v>
      </c>
      <c r="C101" s="533" t="s">
        <v>100</v>
      </c>
      <c r="D101" s="533"/>
      <c r="E101" s="152"/>
      <c r="F101" s="228">
        <v>2.9000000000000001E-2</v>
      </c>
      <c r="G101" s="152"/>
      <c r="H101" s="152"/>
      <c r="I101" s="152"/>
      <c r="J101" s="229"/>
      <c r="K101" s="229"/>
    </row>
    <row r="102" spans="1:11" ht="24" hidden="1" customHeight="1" x14ac:dyDescent="0.25">
      <c r="A102" s="532"/>
      <c r="B102" s="532"/>
      <c r="C102" s="4"/>
      <c r="D102" s="4"/>
      <c r="E102" s="152"/>
      <c r="F102" s="230"/>
      <c r="G102" s="152"/>
      <c r="H102" s="152"/>
      <c r="I102" s="231"/>
      <c r="J102" s="229"/>
      <c r="K102" s="229"/>
    </row>
    <row r="103" spans="1:11" ht="24" hidden="1" customHeight="1" x14ac:dyDescent="0.25">
      <c r="B103" s="153" t="s">
        <v>229</v>
      </c>
      <c r="C103" s="533" t="s">
        <v>69</v>
      </c>
      <c r="D103" s="533"/>
      <c r="E103" s="152"/>
      <c r="F103" s="232"/>
      <c r="G103" s="233"/>
      <c r="H103" s="234"/>
      <c r="I103" s="231"/>
      <c r="J103" s="229"/>
      <c r="K103" s="229"/>
    </row>
    <row r="104" spans="1:11" ht="24" hidden="1" customHeight="1" x14ac:dyDescent="0.25">
      <c r="C104" s="149"/>
      <c r="D104" s="149"/>
      <c r="E104" s="152"/>
      <c r="F104" s="235"/>
      <c r="G104" s="236"/>
      <c r="H104" s="237"/>
      <c r="I104" s="229"/>
      <c r="J104" s="229"/>
      <c r="K104" s="229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0" t="s">
        <v>249</v>
      </c>
      <c r="C121" s="155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6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0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9" t="s">
        <v>44</v>
      </c>
      <c r="D146" s="529"/>
      <c r="E146" s="146"/>
      <c r="G146" s="4"/>
      <c r="H146" s="4"/>
    </row>
    <row r="147" spans="3:13" ht="30.6" hidden="1" customHeight="1" x14ac:dyDescent="0.25">
      <c r="C147" s="529" t="s">
        <v>132</v>
      </c>
      <c r="D147" s="529"/>
      <c r="E147" s="4">
        <f t="shared" ref="E147:E148" si="0">G147*H147</f>
        <v>0</v>
      </c>
      <c r="L147" s="541" t="s">
        <v>45</v>
      </c>
      <c r="M147" s="541"/>
    </row>
    <row r="148" spans="3:13" ht="30.6" hidden="1" customHeight="1" x14ac:dyDescent="0.25">
      <c r="C148" s="529" t="s">
        <v>133</v>
      </c>
      <c r="D148" s="529"/>
      <c r="E148" s="4">
        <f t="shared" si="0"/>
        <v>0</v>
      </c>
      <c r="L148" s="540" t="s">
        <v>46</v>
      </c>
      <c r="M148" s="540"/>
    </row>
    <row r="149" spans="3:13" ht="30.6" hidden="1" customHeight="1" x14ac:dyDescent="0.25">
      <c r="C149" s="529" t="s">
        <v>47</v>
      </c>
      <c r="D149" s="529"/>
      <c r="E149" s="146"/>
      <c r="G149" s="529" t="s">
        <v>188</v>
      </c>
      <c r="H149" s="529"/>
      <c r="I149" s="529"/>
      <c r="J149" s="529"/>
      <c r="K149" s="529"/>
      <c r="L149" s="529"/>
      <c r="M149" s="529"/>
    </row>
    <row r="150" spans="3:13" hidden="1" x14ac:dyDescent="0.25">
      <c r="C150" s="529"/>
      <c r="D150" s="529"/>
      <c r="E150" s="297"/>
    </row>
  </sheetData>
  <mergeCells count="69"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57:D57"/>
    <mergeCell ref="C58:D58"/>
    <mergeCell ref="A102:B102"/>
    <mergeCell ref="C103:D103"/>
    <mergeCell ref="C71:D71"/>
    <mergeCell ref="C70:D70"/>
    <mergeCell ref="C69:D69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C10:H10"/>
    <mergeCell ref="E11:F11"/>
    <mergeCell ref="C12:D12"/>
    <mergeCell ref="E12:F12"/>
    <mergeCell ref="C13:D13"/>
    <mergeCell ref="E13:F13"/>
    <mergeCell ref="G4:H4"/>
    <mergeCell ref="G5:H5"/>
    <mergeCell ref="G8:I8"/>
    <mergeCell ref="G9:H9"/>
    <mergeCell ref="G6:I6"/>
    <mergeCell ref="G7:I7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workbookViewId="0">
      <selection activeCell="E21" sqref="E21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532</v>
      </c>
    </row>
    <row r="9" spans="11:11" x14ac:dyDescent="0.25">
      <c r="K9" t="s">
        <v>533</v>
      </c>
    </row>
    <row r="18" spans="2:8" s="6" customFormat="1" ht="30" customHeight="1" x14ac:dyDescent="0.25">
      <c r="B18" s="521" t="s">
        <v>509</v>
      </c>
      <c r="C18" s="521"/>
      <c r="D18" s="521"/>
      <c r="E18" s="521"/>
      <c r="F18" s="134"/>
      <c r="G18" s="134"/>
      <c r="H18" s="134"/>
    </row>
    <row r="19" spans="2:8" s="6" customFormat="1" ht="30" customHeight="1" x14ac:dyDescent="0.25">
      <c r="B19" s="541" t="s">
        <v>510</v>
      </c>
      <c r="C19" s="541"/>
      <c r="D19" s="541"/>
      <c r="E19" s="541"/>
      <c r="F19" s="134"/>
      <c r="G19" s="134"/>
      <c r="H19" s="134"/>
    </row>
    <row r="20" spans="2:8" s="6" customFormat="1" ht="30" customHeight="1" x14ac:dyDescent="0.25">
      <c r="B20" s="134" t="s">
        <v>511</v>
      </c>
      <c r="C20" s="134"/>
      <c r="D20" s="134"/>
      <c r="E20" s="91">
        <f>'TABLE DES TAUX 2026'!C53</f>
        <v>12.02</v>
      </c>
      <c r="F20" s="134"/>
      <c r="G20" s="134"/>
      <c r="H20" s="134"/>
    </row>
    <row r="21" spans="2:8" s="6" customFormat="1" ht="30" customHeight="1" x14ac:dyDescent="0.25">
      <c r="B21" s="134" t="s">
        <v>34</v>
      </c>
      <c r="C21" s="134"/>
      <c r="D21" s="134"/>
      <c r="E21" s="411">
        <f>'BP CORRECTION  '!B8</f>
        <v>8</v>
      </c>
      <c r="F21" s="134"/>
      <c r="G21" s="134"/>
      <c r="H21" s="134"/>
    </row>
    <row r="22" spans="2:8" s="6" customFormat="1" ht="30" customHeight="1" x14ac:dyDescent="0.25">
      <c r="B22" s="134" t="s">
        <v>512</v>
      </c>
      <c r="C22" s="134"/>
      <c r="D22" s="134"/>
      <c r="E22" s="91">
        <f>'TABLE DES TAUX 2026'!C60</f>
        <v>0.37809999999999999</v>
      </c>
      <c r="F22" s="546" t="s">
        <v>513</v>
      </c>
      <c r="G22" s="547"/>
      <c r="H22" s="547"/>
    </row>
    <row r="23" spans="2:8" s="6" customFormat="1" ht="30" customHeight="1" x14ac:dyDescent="0.25">
      <c r="B23" s="134"/>
      <c r="C23" s="134"/>
      <c r="D23" s="134"/>
      <c r="E23" s="91">
        <f>'TABLE DES TAUX 2026'!D60</f>
        <v>0.3821</v>
      </c>
      <c r="F23" s="546" t="s">
        <v>514</v>
      </c>
      <c r="G23" s="547"/>
      <c r="H23" s="547"/>
    </row>
    <row r="24" spans="2:8" s="6" customFormat="1" ht="30" customHeight="1" x14ac:dyDescent="0.25">
      <c r="B24" s="134" t="s">
        <v>128</v>
      </c>
      <c r="C24" s="134"/>
      <c r="D24" s="134"/>
      <c r="E24" s="419">
        <f>'BP CORRECTION  '!B9</f>
        <v>159.66999999999999</v>
      </c>
      <c r="F24" s="134"/>
      <c r="G24" s="134"/>
      <c r="H24" s="134"/>
    </row>
    <row r="25" spans="2:8" s="6" customFormat="1" ht="30" customHeight="1" x14ac:dyDescent="0.25">
      <c r="B25" s="134" t="s">
        <v>515</v>
      </c>
      <c r="C25" s="134"/>
      <c r="D25" s="134"/>
      <c r="E25" s="293">
        <f>'BP CORRECTION  '!J35</f>
        <v>4318.9799999999996</v>
      </c>
      <c r="F25" s="134"/>
      <c r="G25" s="134"/>
      <c r="H25" s="134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4" customFormat="1" ht="33.75" customHeight="1" x14ac:dyDescent="0.25">
      <c r="A35" s="91" t="s">
        <v>37</v>
      </c>
      <c r="B35" s="91" t="s">
        <v>516</v>
      </c>
      <c r="C35" s="436">
        <v>0.02</v>
      </c>
    </row>
    <row r="36" spans="1:11" s="134" customFormat="1" ht="33.75" customHeight="1" x14ac:dyDescent="0.25">
      <c r="A36" s="91" t="s">
        <v>26</v>
      </c>
      <c r="B36" s="91" t="s">
        <v>517</v>
      </c>
      <c r="C36" s="91">
        <f>IF(E21&gt;=50,E23,E22)</f>
        <v>0.37809999999999999</v>
      </c>
      <c r="D36" s="541" t="s">
        <v>518</v>
      </c>
      <c r="E36" s="541"/>
      <c r="F36" s="541"/>
      <c r="G36" s="541"/>
    </row>
    <row r="37" spans="1:11" s="134" customFormat="1" ht="33.75" customHeight="1" x14ac:dyDescent="0.25">
      <c r="A37" s="91" t="s">
        <v>27</v>
      </c>
      <c r="B37" s="91" t="s">
        <v>519</v>
      </c>
      <c r="C37" s="91">
        <f>3*E20*E24</f>
        <v>5757.7002000000002</v>
      </c>
    </row>
    <row r="38" spans="1:11" s="134" customFormat="1" ht="33.75" customHeight="1" x14ac:dyDescent="0.25">
      <c r="A38" s="91" t="s">
        <v>28</v>
      </c>
      <c r="B38" s="91" t="s">
        <v>520</v>
      </c>
      <c r="C38" s="91">
        <f>E25</f>
        <v>4318.9799999999996</v>
      </c>
    </row>
    <row r="39" spans="1:11" s="134" customFormat="1" ht="33.75" customHeight="1" x14ac:dyDescent="0.25">
      <c r="A39" s="91" t="s">
        <v>521</v>
      </c>
      <c r="B39" s="91" t="s">
        <v>29</v>
      </c>
      <c r="C39" s="91">
        <f>C37/C38</f>
        <v>1.3331157356598087</v>
      </c>
    </row>
    <row r="40" spans="1:11" s="134" customFormat="1" ht="33.75" customHeight="1" x14ac:dyDescent="0.25">
      <c r="A40" s="91" t="s">
        <v>30</v>
      </c>
      <c r="B40" s="91" t="s">
        <v>522</v>
      </c>
      <c r="C40" s="91">
        <f>IF((C39-1)&lt;0,0,C39-1)</f>
        <v>0.33311573565980868</v>
      </c>
    </row>
    <row r="41" spans="1:11" s="134" customFormat="1" ht="33.75" customHeight="1" x14ac:dyDescent="0.25">
      <c r="A41" s="91" t="s">
        <v>523</v>
      </c>
      <c r="B41" s="91" t="s">
        <v>31</v>
      </c>
      <c r="C41" s="91">
        <f>C40/2</f>
        <v>0.16655786782990434</v>
      </c>
    </row>
    <row r="42" spans="1:11" s="134" customFormat="1" ht="33.75" customHeight="1" x14ac:dyDescent="0.25">
      <c r="A42" s="91" t="s">
        <v>32</v>
      </c>
      <c r="B42" s="91" t="s">
        <v>524</v>
      </c>
      <c r="C42" s="91">
        <f>POWER(C41,1.75)</f>
        <v>4.3424919007505711E-2</v>
      </c>
    </row>
    <row r="43" spans="1:11" s="134" customFormat="1" ht="33.75" customHeight="1" x14ac:dyDescent="0.25">
      <c r="A43" s="91" t="s">
        <v>33</v>
      </c>
      <c r="B43" s="91" t="s">
        <v>525</v>
      </c>
      <c r="C43" s="91">
        <f>IF($E$21&lt;50,$E$22*C42,$E$23*C42)</f>
        <v>1.6418961876737907E-2</v>
      </c>
    </row>
    <row r="44" spans="1:11" s="134" customFormat="1" ht="33.75" customHeight="1" x14ac:dyDescent="0.25">
      <c r="A44" s="91" t="s">
        <v>526</v>
      </c>
      <c r="B44" s="91" t="s">
        <v>157</v>
      </c>
      <c r="C44" s="442">
        <f>(IF((C35+C43)=0.02,0,C35+C43))</f>
        <v>3.6418961876737904E-2</v>
      </c>
    </row>
    <row r="45" spans="1:11" s="134" customFormat="1" ht="33.75" customHeight="1" x14ac:dyDescent="0.25">
      <c r="A45" s="91" t="s">
        <v>534</v>
      </c>
      <c r="B45" s="91" t="s">
        <v>535</v>
      </c>
      <c r="C45" s="441">
        <f>ROUND(C44*100/90,4)</f>
        <v>4.0500000000000001E-2</v>
      </c>
      <c r="D45" s="543" t="s">
        <v>536</v>
      </c>
      <c r="E45" s="544"/>
      <c r="F45" s="544"/>
      <c r="G45" s="545"/>
      <c r="H45" s="548" t="s">
        <v>527</v>
      </c>
      <c r="I45" s="548"/>
      <c r="J45" s="548"/>
      <c r="K45" s="548"/>
    </row>
    <row r="46" spans="1:11" s="134" customFormat="1" ht="33.75" customHeight="1" x14ac:dyDescent="0.25">
      <c r="A46" s="91" t="s">
        <v>528</v>
      </c>
      <c r="B46" s="91" t="s">
        <v>529</v>
      </c>
      <c r="C46" s="293">
        <f>ROUND((C45*E25),2)</f>
        <v>174.92</v>
      </c>
      <c r="D46" s="542" t="s">
        <v>530</v>
      </c>
      <c r="E46" s="542"/>
      <c r="F46" s="542"/>
      <c r="G46" s="542"/>
    </row>
    <row r="47" spans="1:11" s="6" customFormat="1" ht="15.75" x14ac:dyDescent="0.25"/>
    <row r="48" spans="1:11" s="429" customFormat="1" ht="15.75" x14ac:dyDescent="0.25"/>
    <row r="49" s="429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topLeftCell="A88" workbookViewId="0">
      <selection activeCell="C94" sqref="C94:I94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</row>
    <row r="2" spans="1:10" s="16" customFormat="1" ht="19.899999999999999" customHeight="1" x14ac:dyDescent="0.3">
      <c r="A2" s="556" t="s">
        <v>142</v>
      </c>
      <c r="B2" s="557"/>
      <c r="C2" s="557"/>
      <c r="D2" s="558"/>
      <c r="E2" s="118"/>
      <c r="F2" s="559" t="s">
        <v>143</v>
      </c>
      <c r="G2" s="559"/>
      <c r="H2" s="559"/>
      <c r="I2" s="559"/>
      <c r="J2" s="559"/>
    </row>
    <row r="3" spans="1:10" s="16" customFormat="1" ht="19.899999999999999" customHeight="1" x14ac:dyDescent="0.3">
      <c r="A3" s="119" t="s">
        <v>144</v>
      </c>
      <c r="B3" s="568" t="str">
        <f>'MASQUE DE SAISIE '!G4</f>
        <v>AGTD</v>
      </c>
      <c r="C3" s="569"/>
      <c r="D3" s="570"/>
      <c r="E3" s="120"/>
      <c r="F3" s="394" t="s">
        <v>144</v>
      </c>
      <c r="G3" s="566" t="str">
        <f>'MASQUE DE SAISIE '!E26</f>
        <v xml:space="preserve">MARTINO </v>
      </c>
      <c r="H3" s="566"/>
      <c r="I3" s="566"/>
      <c r="J3" s="566"/>
    </row>
    <row r="4" spans="1:10" s="16" customFormat="1" ht="15.6" customHeight="1" x14ac:dyDescent="0.3">
      <c r="A4" s="571" t="s">
        <v>145</v>
      </c>
      <c r="B4" s="573" t="str">
        <f>'MASQUE DE SAISIE '!G5</f>
        <v xml:space="preserve">3 Rue Paul Vaillant Couturier 04000 Digne les Bains </v>
      </c>
      <c r="C4" s="574"/>
      <c r="D4" s="575"/>
      <c r="E4" s="120"/>
      <c r="F4" s="394" t="s">
        <v>146</v>
      </c>
      <c r="G4" s="566" t="str">
        <f>'MASQUE DE SAISIE '!E27</f>
        <v>Rassa</v>
      </c>
      <c r="H4" s="566"/>
      <c r="I4" s="566"/>
      <c r="J4" s="566"/>
    </row>
    <row r="5" spans="1:10" s="16" customFormat="1" ht="15.6" customHeight="1" x14ac:dyDescent="0.3">
      <c r="A5" s="572"/>
      <c r="B5" s="576"/>
      <c r="C5" s="577"/>
      <c r="D5" s="578"/>
      <c r="E5" s="120"/>
      <c r="F5" s="394" t="s">
        <v>147</v>
      </c>
      <c r="G5" s="566" t="str">
        <f>'MASQUE DE SAISIE '!E29</f>
        <v xml:space="preserve">Cadre </v>
      </c>
      <c r="H5" s="566"/>
      <c r="I5" s="406" t="s">
        <v>157</v>
      </c>
      <c r="J5" s="406" t="str">
        <f>+'MASQUE DE SAISIE '!E30</f>
        <v>-</v>
      </c>
    </row>
    <row r="6" spans="1:10" s="16" customFormat="1" ht="19.899999999999999" customHeight="1" x14ac:dyDescent="0.3">
      <c r="A6" s="119" t="s">
        <v>148</v>
      </c>
      <c r="B6" s="628">
        <f>'MASQUE DE SAISIE '!G6</f>
        <v>34464426500029</v>
      </c>
      <c r="C6" s="629"/>
      <c r="D6" s="630"/>
      <c r="E6" s="120"/>
      <c r="F6" s="394" t="s">
        <v>149</v>
      </c>
      <c r="G6" s="406" t="s">
        <v>471</v>
      </c>
      <c r="H6" s="406" t="str">
        <f>+'MASQUE DE SAISIE '!E31</f>
        <v>-</v>
      </c>
      <c r="I6" s="406" t="s">
        <v>150</v>
      </c>
      <c r="J6" s="406" t="str">
        <f>+'MASQUE DE SAISIE '!E32</f>
        <v>B4</v>
      </c>
    </row>
    <row r="7" spans="1:10" s="16" customFormat="1" ht="19.899999999999999" customHeight="1" x14ac:dyDescent="0.3">
      <c r="A7" s="119" t="s">
        <v>151</v>
      </c>
      <c r="B7" s="560" t="str">
        <f>'MASQUE DE SAISIE '!G7</f>
        <v>4211 Z</v>
      </c>
      <c r="C7" s="561"/>
      <c r="D7" s="562"/>
      <c r="E7" s="120"/>
      <c r="F7" s="394" t="s">
        <v>152</v>
      </c>
      <c r="G7" s="524" t="str">
        <f>+'MASQUE DE SAISIE '!E33</f>
        <v>2.96.02.297.820. 957</v>
      </c>
      <c r="H7" s="524"/>
      <c r="I7" s="524"/>
      <c r="J7" s="524"/>
    </row>
    <row r="8" spans="1:10" s="16" customFormat="1" ht="19.899999999999999" customHeight="1" x14ac:dyDescent="0.3">
      <c r="A8" s="119" t="s">
        <v>153</v>
      </c>
      <c r="B8" s="563">
        <f>'MASQUE DE SAISIE '!G9</f>
        <v>8</v>
      </c>
      <c r="C8" s="564"/>
      <c r="D8" s="565"/>
      <c r="E8" s="121"/>
      <c r="F8" s="394" t="s">
        <v>145</v>
      </c>
      <c r="G8" s="566" t="str">
        <f>+'MASQUE DE SAISIE '!E28</f>
        <v>2, Avenue des Fleurs  04200 Castellane</v>
      </c>
      <c r="H8" s="566"/>
      <c r="I8" s="566"/>
      <c r="J8" s="566"/>
    </row>
    <row r="9" spans="1:10" s="16" customFormat="1" ht="28.9" customHeight="1" x14ac:dyDescent="0.3">
      <c r="A9" s="122" t="s">
        <v>128</v>
      </c>
      <c r="B9" s="391">
        <f>+'MASQUE DE SAISIE '!E69</f>
        <v>159.66999999999999</v>
      </c>
      <c r="C9" s="392" t="s">
        <v>36</v>
      </c>
      <c r="D9" s="393">
        <f>+'MASQUE DE SAISIE '!E61</f>
        <v>12.02</v>
      </c>
      <c r="E9" s="120"/>
      <c r="F9" s="567" t="s">
        <v>154</v>
      </c>
      <c r="G9" s="567"/>
      <c r="H9" s="407">
        <f>+'MASQUE DE SAISIE '!E56</f>
        <v>46266</v>
      </c>
      <c r="I9" s="395" t="s">
        <v>155</v>
      </c>
      <c r="J9" s="407">
        <f>+'MASQUE DE SAISIE '!E57</f>
        <v>46295</v>
      </c>
    </row>
    <row r="10" spans="1:10" s="16" customFormat="1" ht="51.75" customHeight="1" x14ac:dyDescent="0.3">
      <c r="A10" s="119" t="s">
        <v>158</v>
      </c>
      <c r="B10" s="549" t="str">
        <f>+'MASQUE DE SAISIE '!G8</f>
        <v>Convention Collective Nationale des Cadres des Travaux Publics  IDCC 3212</v>
      </c>
      <c r="C10" s="550"/>
      <c r="D10" s="551"/>
      <c r="E10" s="125"/>
      <c r="F10" s="376" t="s">
        <v>156</v>
      </c>
      <c r="G10" s="408">
        <f>+'MASQUE DE SAISIE '!E58</f>
        <v>46295</v>
      </c>
      <c r="H10" s="91"/>
      <c r="I10" s="91"/>
      <c r="J10" s="91"/>
    </row>
    <row r="11" spans="1:10" s="16" customFormat="1" ht="26.25" customHeight="1" x14ac:dyDescent="0.3">
      <c r="A11" s="552" t="s">
        <v>159</v>
      </c>
      <c r="B11" s="553"/>
      <c r="C11" s="553"/>
      <c r="D11" s="553"/>
      <c r="E11" s="553"/>
      <c r="F11" s="554"/>
      <c r="G11" s="123">
        <f>'MASQUE DE SAISIE '!E60</f>
        <v>151.66999999999999</v>
      </c>
      <c r="H11" s="124" t="s">
        <v>160</v>
      </c>
      <c r="I11" s="123">
        <f>J11/G11</f>
        <v>26.714775499439575</v>
      </c>
      <c r="J11" s="127">
        <f>'ENONCE DONNEES '!F36</f>
        <v>4051.83</v>
      </c>
    </row>
    <row r="12" spans="1:10" s="16" customFormat="1" ht="26.25" hidden="1" customHeight="1" x14ac:dyDescent="0.3">
      <c r="A12" s="552" t="s">
        <v>161</v>
      </c>
      <c r="B12" s="553"/>
      <c r="C12" s="553"/>
      <c r="D12" s="553"/>
      <c r="E12" s="553"/>
      <c r="F12" s="554"/>
      <c r="G12" s="124"/>
      <c r="H12" s="124"/>
      <c r="I12" s="126"/>
      <c r="J12" s="127"/>
    </row>
    <row r="13" spans="1:10" s="16" customFormat="1" ht="26.25" hidden="1" customHeight="1" x14ac:dyDescent="0.3">
      <c r="A13" s="552" t="s">
        <v>162</v>
      </c>
      <c r="B13" s="553"/>
      <c r="C13" s="553"/>
      <c r="D13" s="553"/>
      <c r="E13" s="553"/>
      <c r="F13" s="554"/>
      <c r="G13" s="124"/>
      <c r="H13" s="128"/>
      <c r="I13" s="126"/>
      <c r="J13" s="127"/>
    </row>
    <row r="14" spans="1:10" s="16" customFormat="1" ht="26.25" hidden="1" customHeight="1" x14ac:dyDescent="0.3">
      <c r="A14" s="552" t="s">
        <v>163</v>
      </c>
      <c r="B14" s="553"/>
      <c r="C14" s="553"/>
      <c r="D14" s="553"/>
      <c r="E14" s="553"/>
      <c r="F14" s="554"/>
      <c r="G14" s="124"/>
      <c r="H14" s="128"/>
      <c r="I14" s="126"/>
      <c r="J14" s="127"/>
    </row>
    <row r="15" spans="1:10" s="16" customFormat="1" ht="26.25" hidden="1" customHeight="1" x14ac:dyDescent="0.3">
      <c r="A15" s="552" t="s">
        <v>164</v>
      </c>
      <c r="B15" s="553"/>
      <c r="C15" s="553"/>
      <c r="D15" s="553"/>
      <c r="E15" s="553"/>
      <c r="F15" s="554"/>
      <c r="G15" s="124"/>
      <c r="H15" s="128" t="s">
        <v>160</v>
      </c>
      <c r="I15" s="126"/>
      <c r="J15" s="127"/>
    </row>
    <row r="16" spans="1:10" s="16" customFormat="1" ht="26.25" hidden="1" customHeight="1" x14ac:dyDescent="0.3">
      <c r="A16" s="552" t="s">
        <v>165</v>
      </c>
      <c r="B16" s="553"/>
      <c r="C16" s="553"/>
      <c r="D16" s="553"/>
      <c r="E16" s="553"/>
      <c r="F16" s="554"/>
      <c r="G16" s="129">
        <f>'MASQUE DE SAISIE '!E63</f>
        <v>0</v>
      </c>
      <c r="H16" s="128" t="s">
        <v>160</v>
      </c>
      <c r="I16" s="126">
        <f>+I11*1.1</f>
        <v>29.386253049383534</v>
      </c>
      <c r="J16" s="127">
        <f t="shared" ref="J16" si="0">ROUND(G16*I16,2)</f>
        <v>0</v>
      </c>
    </row>
    <row r="17" spans="1:10" s="16" customFormat="1" ht="26.25" hidden="1" customHeight="1" x14ac:dyDescent="0.3">
      <c r="A17" s="552" t="s">
        <v>166</v>
      </c>
      <c r="B17" s="553"/>
      <c r="C17" s="553"/>
      <c r="D17" s="553"/>
      <c r="E17" s="553"/>
      <c r="F17" s="554"/>
      <c r="G17" s="123"/>
      <c r="H17" s="128" t="s">
        <v>160</v>
      </c>
      <c r="I17" s="126"/>
      <c r="J17" s="127"/>
    </row>
    <row r="18" spans="1:10" s="16" customFormat="1" ht="26.25" customHeight="1" x14ac:dyDescent="0.3">
      <c r="A18" s="552" t="s">
        <v>476</v>
      </c>
      <c r="B18" s="553"/>
      <c r="C18" s="553"/>
      <c r="D18" s="553"/>
      <c r="E18" s="553"/>
      <c r="F18" s="554"/>
      <c r="G18" s="129">
        <f>+'MASQUE DE SAISIE '!E68</f>
        <v>8</v>
      </c>
      <c r="H18" s="128" t="s">
        <v>160</v>
      </c>
      <c r="I18" s="126">
        <f>+I11*1.25</f>
        <v>33.393469374299471</v>
      </c>
      <c r="J18" s="127">
        <f>ROUND(G18*I18,2)</f>
        <v>267.14999999999998</v>
      </c>
    </row>
    <row r="19" spans="1:10" s="16" customFormat="1" ht="26.25" hidden="1" customHeight="1" x14ac:dyDescent="0.3">
      <c r="A19" s="552" t="s">
        <v>571</v>
      </c>
      <c r="B19" s="553"/>
      <c r="C19" s="553"/>
      <c r="D19" s="553"/>
      <c r="E19" s="553"/>
      <c r="F19" s="554"/>
      <c r="G19" s="129"/>
      <c r="H19" s="128"/>
      <c r="I19" s="319"/>
      <c r="J19" s="127"/>
    </row>
    <row r="20" spans="1:10" s="16" customFormat="1" ht="26.25" hidden="1" customHeight="1" x14ac:dyDescent="0.3">
      <c r="A20" s="552"/>
      <c r="B20" s="553"/>
      <c r="C20" s="553"/>
      <c r="D20" s="553"/>
      <c r="E20" s="553"/>
      <c r="F20" s="554"/>
      <c r="G20" s="129"/>
      <c r="H20" s="128"/>
      <c r="I20" s="319"/>
      <c r="J20" s="127"/>
    </row>
    <row r="21" spans="1:10" s="16" customFormat="1" ht="26.25" hidden="1" customHeight="1" x14ac:dyDescent="0.3">
      <c r="A21" s="552" t="s">
        <v>418</v>
      </c>
      <c r="B21" s="553"/>
      <c r="C21" s="553"/>
      <c r="D21" s="553"/>
      <c r="E21" s="553"/>
      <c r="F21" s="554"/>
      <c r="G21" s="124"/>
      <c r="H21" s="128" t="s">
        <v>167</v>
      </c>
      <c r="I21" s="314"/>
      <c r="J21" s="351"/>
    </row>
    <row r="22" spans="1:10" s="16" customFormat="1" ht="26.25" hidden="1" customHeight="1" x14ac:dyDescent="0.3">
      <c r="A22" s="552" t="s">
        <v>376</v>
      </c>
      <c r="B22" s="553"/>
      <c r="C22" s="553"/>
      <c r="D22" s="553"/>
      <c r="E22" s="553"/>
      <c r="F22" s="554"/>
      <c r="G22" s="124"/>
      <c r="H22" s="128" t="s">
        <v>167</v>
      </c>
      <c r="I22" s="124"/>
      <c r="J22" s="127"/>
    </row>
    <row r="23" spans="1:10" s="16" customFormat="1" ht="26.25" hidden="1" customHeight="1" x14ac:dyDescent="0.3">
      <c r="A23" s="552" t="s">
        <v>313</v>
      </c>
      <c r="B23" s="553"/>
      <c r="C23" s="553"/>
      <c r="D23" s="553"/>
      <c r="E23" s="553"/>
      <c r="F23" s="554"/>
      <c r="G23" s="124"/>
      <c r="H23" s="128" t="s">
        <v>167</v>
      </c>
      <c r="I23" s="124"/>
      <c r="J23" s="351"/>
    </row>
    <row r="24" spans="1:10" s="16" customFormat="1" ht="26.25" hidden="1" customHeight="1" x14ac:dyDescent="0.3">
      <c r="A24" s="552" t="s">
        <v>336</v>
      </c>
      <c r="B24" s="553"/>
      <c r="C24" s="553"/>
      <c r="D24" s="553"/>
      <c r="E24" s="553"/>
      <c r="F24" s="554"/>
      <c r="G24" s="124"/>
      <c r="H24" s="128" t="s">
        <v>167</v>
      </c>
      <c r="I24" s="124"/>
      <c r="J24" s="127"/>
    </row>
    <row r="25" spans="1:10" s="16" customFormat="1" ht="26.25" hidden="1" customHeight="1" x14ac:dyDescent="0.3">
      <c r="A25" s="552" t="s">
        <v>168</v>
      </c>
      <c r="B25" s="553"/>
      <c r="C25" s="553"/>
      <c r="D25" s="553"/>
      <c r="E25" s="553"/>
      <c r="F25" s="554"/>
      <c r="G25" s="124"/>
      <c r="H25" s="128" t="s">
        <v>167</v>
      </c>
      <c r="I25" s="124"/>
      <c r="J25" s="127"/>
    </row>
    <row r="26" spans="1:10" s="16" customFormat="1" ht="26.25" hidden="1" customHeight="1" x14ac:dyDescent="0.3">
      <c r="A26" s="552" t="s">
        <v>375</v>
      </c>
      <c r="B26" s="553"/>
      <c r="C26" s="553"/>
      <c r="D26" s="553"/>
      <c r="E26" s="553"/>
      <c r="F26" s="554"/>
      <c r="G26" s="124"/>
      <c r="H26" s="128" t="s">
        <v>167</v>
      </c>
      <c r="I26" s="124"/>
      <c r="J26" s="127"/>
    </row>
    <row r="27" spans="1:10" s="16" customFormat="1" ht="26.25" hidden="1" customHeight="1" x14ac:dyDescent="0.3">
      <c r="A27" s="552"/>
      <c r="B27" s="553"/>
      <c r="C27" s="553"/>
      <c r="D27" s="553"/>
      <c r="E27" s="553"/>
      <c r="F27" s="554"/>
      <c r="G27" s="124"/>
      <c r="H27" s="128" t="s">
        <v>167</v>
      </c>
      <c r="I27" s="124"/>
      <c r="J27" s="127"/>
    </row>
    <row r="28" spans="1:10" s="16" customFormat="1" ht="26.25" hidden="1" customHeight="1" x14ac:dyDescent="0.3">
      <c r="A28" s="552" t="s">
        <v>169</v>
      </c>
      <c r="B28" s="553"/>
      <c r="C28" s="553"/>
      <c r="D28" s="553"/>
      <c r="E28" s="553"/>
      <c r="F28" s="554"/>
      <c r="G28" s="124"/>
      <c r="H28" s="128" t="s">
        <v>167</v>
      </c>
      <c r="I28" s="124"/>
      <c r="J28" s="127"/>
    </row>
    <row r="29" spans="1:10" s="16" customFormat="1" ht="26.25" hidden="1" customHeight="1" x14ac:dyDescent="0.3">
      <c r="A29" s="552" t="s">
        <v>171</v>
      </c>
      <c r="B29" s="553"/>
      <c r="C29" s="553"/>
      <c r="D29" s="553"/>
      <c r="E29" s="553"/>
      <c r="F29" s="554"/>
      <c r="G29" s="126">
        <f>'ENONCE DONNEES '!C48+'ENONCE DONNEES '!G49</f>
        <v>0</v>
      </c>
      <c r="H29" s="128" t="s">
        <v>167</v>
      </c>
      <c r="I29" s="124">
        <f>'ENONCE DONNEES '!D48</f>
        <v>0</v>
      </c>
      <c r="J29" s="127">
        <f>ROUND(G29*I29,292)</f>
        <v>0</v>
      </c>
    </row>
    <row r="30" spans="1:10" s="16" customFormat="1" ht="26.25" hidden="1" customHeight="1" x14ac:dyDescent="0.3">
      <c r="A30" s="579" t="s">
        <v>390</v>
      </c>
      <c r="B30" s="580"/>
      <c r="C30" s="580"/>
      <c r="D30" s="580"/>
      <c r="E30" s="580"/>
      <c r="F30" s="581"/>
      <c r="G30" s="124">
        <f>'MASQUE DE SAISIE '!G147</f>
        <v>0</v>
      </c>
      <c r="H30" s="25"/>
      <c r="I30" s="128">
        <f>'MASQUE DE SAISIE '!H147</f>
        <v>0</v>
      </c>
      <c r="J30" s="127"/>
    </row>
    <row r="31" spans="1:10" s="16" customFormat="1" ht="26.25" hidden="1" customHeight="1" x14ac:dyDescent="0.3">
      <c r="A31" s="579" t="s">
        <v>391</v>
      </c>
      <c r="B31" s="580"/>
      <c r="C31" s="580"/>
      <c r="D31" s="580"/>
      <c r="E31" s="580"/>
      <c r="F31" s="581"/>
      <c r="G31" s="124">
        <f>'MASQUE DE SAISIE '!G148</f>
        <v>0</v>
      </c>
      <c r="H31" s="25"/>
      <c r="I31" s="128">
        <f>'MASQUE DE SAISIE '!H148</f>
        <v>0</v>
      </c>
      <c r="J31" s="25"/>
    </row>
    <row r="32" spans="1:10" s="16" customFormat="1" ht="26.25" hidden="1" customHeight="1" x14ac:dyDescent="0.3">
      <c r="A32" s="552" t="s">
        <v>187</v>
      </c>
      <c r="B32" s="553"/>
      <c r="C32" s="553"/>
      <c r="D32" s="553"/>
      <c r="E32" s="553"/>
      <c r="F32" s="554"/>
      <c r="G32" s="124">
        <f>'ENONCE DONNEES '!G56</f>
        <v>0</v>
      </c>
      <c r="H32" s="128"/>
      <c r="I32" s="124"/>
      <c r="J32" s="127"/>
    </row>
    <row r="33" spans="1:17" s="16" customFormat="1" ht="26.25" hidden="1" customHeight="1" x14ac:dyDescent="0.3">
      <c r="A33" s="552" t="s">
        <v>456</v>
      </c>
      <c r="B33" s="553"/>
      <c r="C33" s="553"/>
      <c r="D33" s="553"/>
      <c r="E33" s="553"/>
      <c r="F33" s="554"/>
      <c r="G33" s="124"/>
      <c r="H33" s="128"/>
      <c r="I33" s="124"/>
      <c r="J33" s="127"/>
    </row>
    <row r="34" spans="1:17" s="16" customFormat="1" ht="26.25" customHeight="1" x14ac:dyDescent="0.3">
      <c r="A34" s="552" t="s">
        <v>172</v>
      </c>
      <c r="B34" s="553"/>
      <c r="C34" s="553"/>
      <c r="D34" s="553"/>
      <c r="E34" s="553"/>
      <c r="F34" s="554"/>
      <c r="G34" s="124"/>
      <c r="H34" s="128"/>
      <c r="I34" s="124"/>
      <c r="J34" s="127">
        <f>SUM(J11:J33)</f>
        <v>4318.9799999999996</v>
      </c>
      <c r="L34" s="261"/>
    </row>
    <row r="35" spans="1:17" s="16" customFormat="1" ht="25.9" customHeight="1" x14ac:dyDescent="0.3">
      <c r="A35" s="589" t="s">
        <v>170</v>
      </c>
      <c r="B35" s="589"/>
      <c r="C35" s="127">
        <f>'MASQUE DE SAISIE '!E62</f>
        <v>4005</v>
      </c>
      <c r="D35" s="590" t="s">
        <v>21</v>
      </c>
      <c r="E35" s="590"/>
      <c r="F35" s="590"/>
      <c r="G35" s="590"/>
      <c r="H35" s="590"/>
      <c r="I35" s="590"/>
      <c r="J35" s="130">
        <f>ROUND(J34*(1-'MASQUE DE SAISIE '!G16),2)</f>
        <v>4318.9799999999996</v>
      </c>
    </row>
    <row r="36" spans="1:17" s="15" customFormat="1" ht="32.450000000000003" customHeight="1" x14ac:dyDescent="0.3">
      <c r="A36" s="592" t="s">
        <v>48</v>
      </c>
      <c r="B36" s="593"/>
      <c r="C36" s="593"/>
      <c r="D36" s="594"/>
      <c r="E36" s="587" t="s">
        <v>6</v>
      </c>
      <c r="F36" s="588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591" t="s">
        <v>53</v>
      </c>
      <c r="B37" s="591"/>
      <c r="C37" s="591"/>
      <c r="D37" s="591"/>
      <c r="E37" s="23"/>
      <c r="F37" s="11"/>
      <c r="G37" s="23"/>
      <c r="H37" s="23"/>
      <c r="I37" s="24"/>
      <c r="J37" s="102"/>
    </row>
    <row r="38" spans="1:17" s="16" customFormat="1" ht="24.75" customHeight="1" x14ac:dyDescent="0.3">
      <c r="A38" s="585" t="s">
        <v>494</v>
      </c>
      <c r="B38" s="585"/>
      <c r="C38" s="585"/>
      <c r="D38" s="586"/>
      <c r="E38" s="622">
        <f>IF('MASQUE DE SAISIE '!G15=1,J35,J34)</f>
        <v>4318.9799999999996</v>
      </c>
      <c r="F38" s="623"/>
      <c r="G38" s="93"/>
      <c r="H38" s="94">
        <f>'TABLE DES TAUX 2026'!D3</f>
        <v>0.13</v>
      </c>
      <c r="I38" s="95"/>
      <c r="J38" s="92">
        <f>ROUND(E38*H38,2)</f>
        <v>561.47</v>
      </c>
    </row>
    <row r="39" spans="1:17" s="16" customFormat="1" ht="24.75" hidden="1" customHeight="1" x14ac:dyDescent="0.3">
      <c r="A39" s="585"/>
      <c r="B39" s="585"/>
      <c r="C39" s="585"/>
      <c r="D39" s="586"/>
      <c r="E39" s="641">
        <f>IF('MASQUE DE SAISIE '!G15=1,IF(J35&gt;2.25*'MASQUE DE SAISIE '!E69*'MASQUE DE SAISIE '!E61,J35,0),IF(J34&gt;2.25*'MASQUE DE SAISIE '!E61*'MASQUE DE SAISIE '!E69,J34,0))</f>
        <v>4318.9799999999996</v>
      </c>
      <c r="F39" s="642"/>
      <c r="G39" s="93"/>
      <c r="H39" s="93">
        <f>'TABLE DES TAUX 2026'!D4</f>
        <v>0</v>
      </c>
      <c r="I39" s="95"/>
      <c r="J39" s="92">
        <f>ROUND(E39*H39,2)</f>
        <v>0</v>
      </c>
      <c r="L39" s="157"/>
    </row>
    <row r="40" spans="1:17" s="16" customFormat="1" ht="24.75" customHeight="1" x14ac:dyDescent="0.3">
      <c r="A40" s="585" t="s">
        <v>80</v>
      </c>
      <c r="B40" s="585"/>
      <c r="C40" s="585"/>
      <c r="D40" s="586"/>
      <c r="E40" s="622">
        <f>'MASQUE DE SAISIE '!E12</f>
        <v>100</v>
      </c>
      <c r="F40" s="623"/>
      <c r="G40" s="96">
        <f>'MASQUE DE SAISIE '!G12</f>
        <v>0.5</v>
      </c>
      <c r="H40" s="96">
        <f>'MASQUE DE SAISIE '!H12</f>
        <v>0.5</v>
      </c>
      <c r="I40" s="95">
        <f t="shared" ref="I40:I66" si="1">ROUND(E40*G40,2)</f>
        <v>50</v>
      </c>
      <c r="J40" s="92">
        <f t="shared" ref="J40:J65" si="2">ROUND(E40*H40,2)</f>
        <v>50</v>
      </c>
    </row>
    <row r="41" spans="1:17" s="16" customFormat="1" ht="24" customHeight="1" x14ac:dyDescent="0.3">
      <c r="A41" s="583" t="s">
        <v>55</v>
      </c>
      <c r="B41" s="583"/>
      <c r="C41" s="583"/>
      <c r="D41" s="584"/>
      <c r="E41" s="622">
        <f>IF('MASQUE DE SAISIE '!G15=1,J35,J34)</f>
        <v>4318.9799999999996</v>
      </c>
      <c r="F41" s="623"/>
      <c r="G41" s="93"/>
      <c r="H41" s="93">
        <f>+'MASQUE DE SAISIE '!H21</f>
        <v>7.1000000000000004E-3</v>
      </c>
      <c r="I41" s="95"/>
      <c r="J41" s="92">
        <f t="shared" si="2"/>
        <v>30.66</v>
      </c>
      <c r="L41" s="582"/>
    </row>
    <row r="42" spans="1:17" s="16" customFormat="1" ht="24" customHeight="1" x14ac:dyDescent="0.3">
      <c r="A42" s="583" t="s">
        <v>56</v>
      </c>
      <c r="B42" s="583"/>
      <c r="C42" s="583"/>
      <c r="D42" s="584"/>
      <c r="E42" s="622"/>
      <c r="F42" s="623"/>
      <c r="G42" s="93"/>
      <c r="H42" s="93"/>
      <c r="I42" s="95"/>
      <c r="J42" s="92"/>
      <c r="L42" s="582"/>
    </row>
    <row r="43" spans="1:17" s="16" customFormat="1" ht="24" customHeight="1" x14ac:dyDescent="0.3">
      <c r="A43" s="585" t="s">
        <v>57</v>
      </c>
      <c r="B43" s="585"/>
      <c r="C43" s="585"/>
      <c r="D43" s="586"/>
      <c r="E43" s="622">
        <f>IF('MASQUE DE SAISIE '!G15=1,IF(J35&gt;C35,C35,J35),IF(J34&gt;C35,C35,J34))</f>
        <v>4005</v>
      </c>
      <c r="F43" s="623"/>
      <c r="G43" s="93">
        <f>VLOOKUP(A43,TAUX2023,3,FALSE)</f>
        <v>6.9000000000000006E-2</v>
      </c>
      <c r="H43" s="93">
        <f>VLOOKUP(A43,TAUX2023,4,FALSE)</f>
        <v>8.5500000000000007E-2</v>
      </c>
      <c r="I43" s="95">
        <f t="shared" si="1"/>
        <v>276.35000000000002</v>
      </c>
      <c r="J43" s="92">
        <f t="shared" si="2"/>
        <v>342.43</v>
      </c>
    </row>
    <row r="44" spans="1:17" s="16" customFormat="1" ht="24" customHeight="1" x14ac:dyDescent="0.3">
      <c r="A44" s="585" t="s">
        <v>58</v>
      </c>
      <c r="B44" s="585"/>
      <c r="C44" s="585"/>
      <c r="D44" s="586"/>
      <c r="E44" s="622">
        <f>IF('MASQUE DE SAISIE '!G15=1,J35,J34)</f>
        <v>4318.9799999999996</v>
      </c>
      <c r="F44" s="623"/>
      <c r="G44" s="93">
        <f>VLOOKUP(A44,TAUX2023,3,FALSE)</f>
        <v>4.0000000000000001E-3</v>
      </c>
      <c r="H44" s="93">
        <f>'TABLE DES TAUX 2026'!D18</f>
        <v>2.1100000000000001E-2</v>
      </c>
      <c r="I44" s="95">
        <f t="shared" si="1"/>
        <v>17.28</v>
      </c>
      <c r="J44" s="92">
        <f t="shared" si="2"/>
        <v>91.13</v>
      </c>
    </row>
    <row r="45" spans="1:17" s="16" customFormat="1" ht="25.5" customHeight="1" x14ac:dyDescent="0.3">
      <c r="A45" s="585" t="s">
        <v>59</v>
      </c>
      <c r="B45" s="585"/>
      <c r="C45" s="585"/>
      <c r="D45" s="586"/>
      <c r="E45" s="622">
        <f>E43</f>
        <v>4005</v>
      </c>
      <c r="F45" s="623"/>
      <c r="G45" s="97">
        <f>IF(J35&gt;C35,'TABLE DES TAUX 2026'!D71,'TABLE DES TAUX 2026'!B71)</f>
        <v>4.1499999999999995E-2</v>
      </c>
      <c r="H45" s="97">
        <f>IF(J35&gt;C35,'TABLE DES TAUX 2026'!E71,'TABLE DES TAUX 2026'!C71)</f>
        <v>6.2199999999999998E-2</v>
      </c>
      <c r="I45" s="95">
        <f t="shared" si="1"/>
        <v>166.21</v>
      </c>
      <c r="J45" s="92">
        <f t="shared" si="2"/>
        <v>249.11</v>
      </c>
      <c r="K45" s="19"/>
      <c r="M45" s="599"/>
      <c r="N45" s="599"/>
      <c r="O45" s="599"/>
    </row>
    <row r="46" spans="1:17" s="16" customFormat="1" ht="25.5" customHeight="1" x14ac:dyDescent="0.3">
      <c r="A46" s="585" t="s">
        <v>60</v>
      </c>
      <c r="B46" s="585"/>
      <c r="C46" s="585"/>
      <c r="D46" s="586"/>
      <c r="E46" s="641">
        <f>IF('MASQUE DE SAISIE '!G15=1,IF(J35&gt;8*C35,7*C35,IF(J35&gt;C35,J35-C35,0)),IF(J34&gt;8*C35,7*C35,IF(J34&gt;C35,J34-C35,0)))</f>
        <v>313.97999999999956</v>
      </c>
      <c r="F46" s="642"/>
      <c r="G46" s="97">
        <f>'TABLE DES TAUX 2026'!D77</f>
        <v>9.8600000000000007E-2</v>
      </c>
      <c r="H46" s="98">
        <f>IF(J35&gt;C35,'TABLE DES TAUX 2026'!E77,'TABLE DES TAUX 2026'!C77)</f>
        <v>0.14779999999999999</v>
      </c>
      <c r="I46" s="95">
        <f t="shared" si="1"/>
        <v>30.96</v>
      </c>
      <c r="J46" s="92">
        <f t="shared" si="2"/>
        <v>46.41</v>
      </c>
      <c r="K46" s="19"/>
      <c r="M46" s="600"/>
      <c r="N46" s="600"/>
      <c r="O46" s="20"/>
      <c r="P46" s="21"/>
      <c r="Q46" s="20"/>
    </row>
    <row r="47" spans="1:17" ht="25.5" customHeight="1" x14ac:dyDescent="0.25">
      <c r="A47" s="601" t="s">
        <v>61</v>
      </c>
      <c r="B47" s="601"/>
      <c r="C47" s="601"/>
      <c r="D47" s="602"/>
      <c r="E47" s="622"/>
      <c r="F47" s="623"/>
      <c r="G47"/>
      <c r="H47"/>
      <c r="I47" s="95"/>
      <c r="J47" s="92">
        <f t="shared" si="2"/>
        <v>0</v>
      </c>
    </row>
    <row r="48" spans="1:17" ht="23.45" customHeight="1" x14ac:dyDescent="0.25">
      <c r="A48" s="585" t="s">
        <v>495</v>
      </c>
      <c r="B48" s="585"/>
      <c r="C48" s="585"/>
      <c r="D48" s="586"/>
      <c r="E48" s="622">
        <f>E38</f>
        <v>4318.9799999999996</v>
      </c>
      <c r="F48" s="623"/>
      <c r="G48" s="93"/>
      <c r="H48" s="99">
        <f>'TABLE DES TAUX 2026'!D10</f>
        <v>5.2499999999999998E-2</v>
      </c>
      <c r="I48" s="95"/>
      <c r="J48" s="92">
        <f t="shared" si="2"/>
        <v>226.75</v>
      </c>
    </row>
    <row r="49" spans="1:12" ht="58.9" hidden="1" customHeight="1" x14ac:dyDescent="0.25">
      <c r="A49" s="585" t="s">
        <v>62</v>
      </c>
      <c r="B49" s="585"/>
      <c r="C49" s="585"/>
      <c r="D49" s="586"/>
      <c r="E49" s="641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642"/>
      <c r="G49" s="93"/>
      <c r="H49" s="145">
        <f>'TABLE DES TAUX 2026'!D11</f>
        <v>0</v>
      </c>
      <c r="I49" s="95"/>
      <c r="J49" s="92">
        <f t="shared" si="2"/>
        <v>0</v>
      </c>
    </row>
    <row r="50" spans="1:12" ht="24" customHeight="1" x14ac:dyDescent="0.3">
      <c r="A50" s="613" t="s">
        <v>63</v>
      </c>
      <c r="B50" s="613"/>
      <c r="C50" s="613"/>
      <c r="D50" s="614"/>
      <c r="E50" s="622"/>
      <c r="F50" s="623"/>
      <c r="G50" s="103"/>
      <c r="I50" s="95"/>
      <c r="J50" s="92"/>
    </row>
    <row r="51" spans="1:12" ht="32.450000000000003" customHeight="1" x14ac:dyDescent="0.3">
      <c r="A51" s="585" t="s">
        <v>64</v>
      </c>
      <c r="B51" s="585"/>
      <c r="C51" s="585"/>
      <c r="D51" s="586"/>
      <c r="E51" s="622">
        <f>IF('MASQUE DE SAISIE '!G15=1,IF(J35&gt;4*C35,4*C35,J35),IF(J34&gt;4*C35,4*C35,J34))</f>
        <v>4318.9799999999996</v>
      </c>
      <c r="F51" s="623"/>
      <c r="H51" s="312">
        <f>IF(H9&gt;=45778,4%,4.05%)+'TABLE DES TAUX 2026'!D14</f>
        <v>4.2500000000000003E-2</v>
      </c>
      <c r="I51" s="95"/>
      <c r="J51" s="92">
        <f t="shared" si="2"/>
        <v>183.56</v>
      </c>
    </row>
    <row r="52" spans="1:12" ht="24" customHeight="1" x14ac:dyDescent="0.25">
      <c r="A52" s="606" t="s">
        <v>477</v>
      </c>
      <c r="B52" s="606"/>
      <c r="C52" s="606"/>
      <c r="D52" s="606"/>
      <c r="E52" s="622">
        <f>E51</f>
        <v>4318.9799999999996</v>
      </c>
      <c r="F52" s="623"/>
      <c r="G52" s="397">
        <f>'TABLE DES TAUX 2026'!C15</f>
        <v>2.4000000000000001E-4</v>
      </c>
      <c r="H52" s="397">
        <f>'TABLE DES TAUX 2026'!D15</f>
        <v>3.6000000000000002E-4</v>
      </c>
      <c r="I52" s="95">
        <f t="shared" si="1"/>
        <v>1.04</v>
      </c>
      <c r="J52" s="92">
        <f t="shared" si="2"/>
        <v>1.55</v>
      </c>
    </row>
    <row r="53" spans="1:12" ht="24" customHeight="1" x14ac:dyDescent="0.25">
      <c r="A53" s="613" t="s">
        <v>66</v>
      </c>
      <c r="B53" s="613"/>
      <c r="C53" s="613"/>
      <c r="D53" s="614"/>
      <c r="E53" s="622"/>
      <c r="F53" s="623"/>
      <c r="G53" s="104"/>
      <c r="H53" s="100"/>
      <c r="I53" s="95"/>
      <c r="J53" s="293">
        <f>I117</f>
        <v>63.1</v>
      </c>
    </row>
    <row r="54" spans="1:12" ht="34.9" customHeight="1" x14ac:dyDescent="0.25">
      <c r="A54" s="613" t="s">
        <v>70</v>
      </c>
      <c r="B54" s="613"/>
      <c r="C54" s="613"/>
      <c r="D54" s="614"/>
      <c r="E54" s="622"/>
      <c r="F54" s="623"/>
      <c r="G54" s="100"/>
      <c r="H54" s="100"/>
      <c r="I54" s="95"/>
      <c r="J54" s="92">
        <f t="shared" si="2"/>
        <v>0</v>
      </c>
    </row>
    <row r="55" spans="1:12" ht="34.9" customHeight="1" x14ac:dyDescent="0.25">
      <c r="A55" s="615" t="s">
        <v>556</v>
      </c>
      <c r="B55" s="615"/>
      <c r="C55" s="615"/>
      <c r="D55" s="615"/>
      <c r="E55" s="644">
        <f>'JUSTIFICATION DES BASES TRAV'!F110</f>
        <v>4005</v>
      </c>
      <c r="F55" s="645"/>
      <c r="G55" s="437"/>
      <c r="H55" s="438">
        <f>0.68%</f>
        <v>6.8000000000000005E-3</v>
      </c>
      <c r="I55" s="439">
        <f t="shared" si="1"/>
        <v>0</v>
      </c>
      <c r="J55" s="440">
        <f t="shared" si="2"/>
        <v>27.23</v>
      </c>
    </row>
    <row r="56" spans="1:12" ht="37.5" customHeight="1" x14ac:dyDescent="0.25">
      <c r="A56" s="615" t="s">
        <v>40</v>
      </c>
      <c r="B56" s="615"/>
      <c r="C56" s="615"/>
      <c r="D56" s="615"/>
      <c r="E56" s="644">
        <f>'JUSTIFICATION DES BASES TRAV'!H117</f>
        <v>4318.9799999999996</v>
      </c>
      <c r="F56" s="645"/>
      <c r="G56" s="437"/>
      <c r="H56" s="438">
        <f>'ENONCE DONNEES '!D56</f>
        <v>0.21</v>
      </c>
      <c r="I56" s="439">
        <f t="shared" si="1"/>
        <v>0</v>
      </c>
      <c r="J56" s="440">
        <f t="shared" si="2"/>
        <v>906.99</v>
      </c>
    </row>
    <row r="57" spans="1:12" ht="30" customHeight="1" x14ac:dyDescent="0.25">
      <c r="A57" s="615" t="s">
        <v>2</v>
      </c>
      <c r="B57" s="615"/>
      <c r="C57" s="615"/>
      <c r="D57" s="615"/>
      <c r="E57" s="646">
        <f>'JUSTIFICATION DES BASES TRAV'!G117</f>
        <v>4318.9799999999996</v>
      </c>
      <c r="F57" s="647"/>
      <c r="G57" s="437"/>
      <c r="H57" s="438">
        <v>1.2999999999999999E-3</v>
      </c>
      <c r="I57" s="439"/>
      <c r="J57" s="440">
        <f t="shared" si="2"/>
        <v>5.61</v>
      </c>
    </row>
    <row r="58" spans="1:12" ht="30" customHeight="1" x14ac:dyDescent="0.25">
      <c r="A58" s="615" t="s">
        <v>18</v>
      </c>
      <c r="B58" s="615"/>
      <c r="C58" s="615"/>
      <c r="D58" s="615"/>
      <c r="E58" s="644">
        <f>'JUSTIF DES BASES PRES AMELIOREE'!I157</f>
        <v>4318.9799999999996</v>
      </c>
      <c r="F58" s="645"/>
      <c r="G58" s="437"/>
      <c r="H58" s="438">
        <v>1.1000000000000001E-3</v>
      </c>
      <c r="I58" s="439">
        <f t="shared" si="1"/>
        <v>0</v>
      </c>
      <c r="J58" s="440">
        <f t="shared" si="2"/>
        <v>4.75</v>
      </c>
    </row>
    <row r="59" spans="1:12" ht="40.5" hidden="1" customHeight="1" x14ac:dyDescent="0.25">
      <c r="A59" s="619" t="s">
        <v>1</v>
      </c>
      <c r="B59" s="620"/>
      <c r="C59" s="620"/>
      <c r="D59" s="621"/>
      <c r="E59" s="643">
        <f>'JUSTIFICATION DES BASES TRAV'!E110</f>
        <v>4318.9799999999996</v>
      </c>
      <c r="F59" s="643"/>
      <c r="G59" s="437"/>
      <c r="H59" s="438"/>
      <c r="I59" s="439"/>
      <c r="J59" s="440">
        <f t="shared" si="2"/>
        <v>0</v>
      </c>
    </row>
    <row r="60" spans="1:12" ht="39" customHeight="1" x14ac:dyDescent="0.25">
      <c r="A60" s="615" t="s">
        <v>17</v>
      </c>
      <c r="B60" s="615"/>
      <c r="C60" s="615"/>
      <c r="D60" s="615"/>
      <c r="E60" s="643">
        <f>'JUSTIFICATION DES BASES TRAV'!J117</f>
        <v>4815.6626999999999</v>
      </c>
      <c r="F60" s="643"/>
      <c r="G60" s="437"/>
      <c r="H60" s="438">
        <v>2.2000000000000001E-3</v>
      </c>
      <c r="I60" s="439"/>
      <c r="J60" s="440">
        <f t="shared" si="2"/>
        <v>10.59</v>
      </c>
    </row>
    <row r="61" spans="1:12" s="16" customFormat="1" ht="37.9" customHeight="1" x14ac:dyDescent="0.3">
      <c r="A61" s="606" t="s">
        <v>49</v>
      </c>
      <c r="B61" s="606"/>
      <c r="C61" s="606"/>
      <c r="D61" s="606"/>
      <c r="E61" s="641">
        <f>+'JUSTIFICATION DES BASES TRAV'!O37</f>
        <v>4094.52</v>
      </c>
      <c r="F61" s="642"/>
      <c r="G61" s="93">
        <f>'TABLE DES TAUX 2026'!C37</f>
        <v>6.8000000000000005E-2</v>
      </c>
      <c r="H61" s="17"/>
      <c r="I61" s="95">
        <f t="shared" si="1"/>
        <v>278.43</v>
      </c>
      <c r="J61" s="92">
        <f t="shared" si="2"/>
        <v>0</v>
      </c>
    </row>
    <row r="62" spans="1:12" s="16" customFormat="1" ht="39" customHeight="1" x14ac:dyDescent="0.3">
      <c r="A62" s="606" t="s">
        <v>19</v>
      </c>
      <c r="B62" s="606"/>
      <c r="C62" s="606"/>
      <c r="D62" s="606"/>
      <c r="E62" s="622">
        <f>+E61</f>
        <v>4094.52</v>
      </c>
      <c r="F62" s="623"/>
      <c r="G62" s="93">
        <f>'TABLE DES TAUX 2026'!C38</f>
        <v>2.9000000000000001E-2</v>
      </c>
      <c r="H62" s="17"/>
      <c r="I62" s="95">
        <f t="shared" si="1"/>
        <v>118.74</v>
      </c>
      <c r="J62" s="92">
        <f t="shared" si="2"/>
        <v>0</v>
      </c>
    </row>
    <row r="63" spans="1:12" s="16" customFormat="1" ht="40.5" hidden="1" customHeight="1" x14ac:dyDescent="0.3">
      <c r="A63" s="606" t="s">
        <v>50</v>
      </c>
      <c r="B63" s="606"/>
      <c r="C63" s="606"/>
      <c r="D63" s="606"/>
      <c r="E63" s="622">
        <f>'JUSTIFICATION DES BASES TRAV'!M117</f>
        <v>262.47000000000003</v>
      </c>
      <c r="F63" s="623"/>
      <c r="G63" s="93">
        <f>'TABLE DES TAUX 2026'!C39</f>
        <v>6.8000000000000005E-2</v>
      </c>
      <c r="H63" s="17"/>
      <c r="I63" s="95">
        <f t="shared" si="1"/>
        <v>17.850000000000001</v>
      </c>
      <c r="J63" s="92">
        <f t="shared" si="2"/>
        <v>0</v>
      </c>
      <c r="L63" s="261"/>
    </row>
    <row r="64" spans="1:12" s="16" customFormat="1" ht="39" hidden="1" customHeight="1" x14ac:dyDescent="0.3">
      <c r="A64" s="606" t="s">
        <v>51</v>
      </c>
      <c r="B64" s="606"/>
      <c r="C64" s="606"/>
      <c r="D64" s="606"/>
      <c r="E64" s="622">
        <f>E63</f>
        <v>262.47000000000003</v>
      </c>
      <c r="F64" s="623"/>
      <c r="G64" s="93">
        <f>'TABLE DES TAUX 2026'!C41</f>
        <v>2.9000000000000001E-2</v>
      </c>
      <c r="H64" s="17"/>
      <c r="I64" s="95">
        <f t="shared" si="1"/>
        <v>7.61</v>
      </c>
      <c r="J64" s="92">
        <f t="shared" si="2"/>
        <v>0</v>
      </c>
    </row>
    <row r="65" spans="1:12" ht="58.9" hidden="1" customHeight="1" x14ac:dyDescent="0.25">
      <c r="A65" s="606" t="s">
        <v>52</v>
      </c>
      <c r="B65" s="606"/>
      <c r="C65" s="606"/>
      <c r="D65" s="606"/>
      <c r="E65" s="622"/>
      <c r="F65" s="623"/>
      <c r="G65" s="93">
        <f>'TABLE DES TAUX 2026'!C40</f>
        <v>6.8000000000000005E-2</v>
      </c>
      <c r="H65" s="22"/>
      <c r="I65" s="95">
        <f t="shared" si="1"/>
        <v>0</v>
      </c>
      <c r="J65" s="92">
        <f t="shared" si="2"/>
        <v>0</v>
      </c>
    </row>
    <row r="66" spans="1:12" ht="30.6" customHeight="1" x14ac:dyDescent="0.3">
      <c r="A66" s="624" t="s">
        <v>68</v>
      </c>
      <c r="B66" s="624"/>
      <c r="C66" s="624"/>
      <c r="D66" s="625"/>
      <c r="E66" s="622"/>
      <c r="F66" s="623"/>
      <c r="G66" s="93"/>
      <c r="H66" s="27"/>
      <c r="I66" s="208">
        <f t="shared" si="1"/>
        <v>0</v>
      </c>
      <c r="J66" s="292">
        <f>-'JUSTIF DES BASES PRES AMELIOREE'!C93</f>
        <v>-186.92</v>
      </c>
    </row>
    <row r="67" spans="1:12" ht="25.5" customHeight="1" x14ac:dyDescent="0.3">
      <c r="A67" s="585" t="s">
        <v>69</v>
      </c>
      <c r="B67" s="585"/>
      <c r="C67" s="585"/>
      <c r="D67" s="586"/>
      <c r="E67" s="622">
        <f>(J19+J18+J20)*(1-'MASQUE DE SAISIE '!G16)</f>
        <v>267.14999999999998</v>
      </c>
      <c r="F67" s="623"/>
      <c r="G67" s="93">
        <f>G104</f>
        <v>0.11310000000000001</v>
      </c>
      <c r="H67" s="26"/>
      <c r="I67" s="291">
        <f>-ROUND(E67*G67,2)</f>
        <v>-30.21</v>
      </c>
      <c r="J67" s="209"/>
    </row>
    <row r="68" spans="1:12" ht="24.75" customHeight="1" x14ac:dyDescent="0.3">
      <c r="A68" s="613" t="s">
        <v>71</v>
      </c>
      <c r="B68" s="613"/>
      <c r="C68" s="613"/>
      <c r="D68" s="614"/>
      <c r="E68" s="622"/>
      <c r="F68" s="623"/>
      <c r="G68" s="93"/>
      <c r="H68" s="26"/>
      <c r="I68" s="95"/>
      <c r="J68" s="2"/>
    </row>
    <row r="69" spans="1:12" ht="24.75" customHeight="1" x14ac:dyDescent="0.25">
      <c r="A69" s="606" t="s">
        <v>131</v>
      </c>
      <c r="B69" s="606"/>
      <c r="C69" s="606"/>
      <c r="D69" s="606"/>
      <c r="E69" s="622">
        <f>IF(J35&gt;C35,J35-C35,0)</f>
        <v>313.97999999999956</v>
      </c>
      <c r="F69" s="623"/>
      <c r="G69" s="93">
        <f>'MASQUE DE SAISIE '!G13</f>
        <v>1.12E-2</v>
      </c>
      <c r="H69" s="93">
        <f>'MASQUE DE SAISIE '!H13</f>
        <v>1.12E-2</v>
      </c>
      <c r="I69" s="95">
        <f>ROUND(E69*G69,2)</f>
        <v>3.52</v>
      </c>
      <c r="J69" s="92">
        <f>ROUND(E69*H69,2)</f>
        <v>3.52</v>
      </c>
    </row>
    <row r="70" spans="1:12" s="16" customFormat="1" ht="24.75" customHeight="1" x14ac:dyDescent="0.3">
      <c r="A70" s="606" t="s">
        <v>131</v>
      </c>
      <c r="B70" s="606"/>
      <c r="C70" s="606"/>
      <c r="D70" s="606"/>
      <c r="E70" s="622">
        <f>IF(J35&gt;C35,C35,J35)</f>
        <v>4005</v>
      </c>
      <c r="F70" s="623"/>
      <c r="G70" s="400"/>
      <c r="H70" s="93">
        <f>'ENONCE DONNEES '!E77</f>
        <v>1.4999999999999999E-2</v>
      </c>
      <c r="I70" s="95"/>
      <c r="J70" s="92">
        <f>ROUND(E70*H70,2)</f>
        <v>60.08</v>
      </c>
    </row>
    <row r="71" spans="1:12" s="16" customFormat="1" ht="25.9" customHeight="1" x14ac:dyDescent="0.3">
      <c r="A71" s="632" t="s">
        <v>184</v>
      </c>
      <c r="B71" s="632"/>
      <c r="C71" s="632"/>
      <c r="D71" s="632"/>
      <c r="E71" s="632"/>
      <c r="F71" s="632"/>
      <c r="G71" s="632"/>
      <c r="H71" s="632"/>
      <c r="I71" s="294">
        <f>SUM(I38:I70)</f>
        <v>937.78</v>
      </c>
      <c r="J71" s="294">
        <f>SUM(J38:J70)</f>
        <v>2678.0200000000004</v>
      </c>
      <c r="L71" s="261"/>
    </row>
    <row r="72" spans="1:12" s="16" customFormat="1" ht="24.6" hidden="1" customHeight="1" x14ac:dyDescent="0.3">
      <c r="A72" s="616"/>
      <c r="B72" s="617"/>
      <c r="C72" s="617"/>
      <c r="D72" s="617"/>
      <c r="E72" s="617"/>
      <c r="F72" s="617"/>
      <c r="G72" s="617"/>
      <c r="H72" s="618"/>
      <c r="I72" s="95"/>
      <c r="J72" s="95"/>
    </row>
    <row r="73" spans="1:12" s="16" customFormat="1" ht="25.9" hidden="1" customHeight="1" x14ac:dyDescent="0.3">
      <c r="A73" s="616" t="s">
        <v>371</v>
      </c>
      <c r="B73" s="617"/>
      <c r="C73" s="617"/>
      <c r="D73" s="617"/>
      <c r="E73" s="617"/>
      <c r="F73" s="617"/>
      <c r="G73" s="617"/>
      <c r="H73" s="618"/>
      <c r="I73" s="336"/>
      <c r="J73" s="315"/>
    </row>
    <row r="74" spans="1:12" s="16" customFormat="1" ht="25.9" customHeight="1" x14ac:dyDescent="0.3">
      <c r="A74" s="633" t="s">
        <v>74</v>
      </c>
      <c r="B74" s="633"/>
      <c r="C74" s="633"/>
      <c r="D74" s="633"/>
      <c r="E74" s="633"/>
      <c r="F74" s="633"/>
      <c r="G74" s="633"/>
      <c r="H74" s="633"/>
      <c r="I74" s="295">
        <f>J34-I71-J30</f>
        <v>3381.2</v>
      </c>
      <c r="J74" s="102"/>
    </row>
    <row r="75" spans="1:12" s="16" customFormat="1" ht="27.6" hidden="1" customHeight="1" x14ac:dyDescent="0.3">
      <c r="A75" s="634" t="s">
        <v>189</v>
      </c>
      <c r="B75" s="634"/>
      <c r="C75" s="634"/>
      <c r="D75" s="634"/>
      <c r="E75" s="634"/>
      <c r="F75" s="634"/>
      <c r="G75" s="634"/>
      <c r="H75" s="634"/>
      <c r="I75" s="18"/>
      <c r="J75" s="102"/>
      <c r="L75" s="261"/>
    </row>
    <row r="76" spans="1:12" s="16" customFormat="1" ht="27.6" customHeight="1" x14ac:dyDescent="0.3">
      <c r="A76" s="607" t="s">
        <v>183</v>
      </c>
      <c r="B76" s="607"/>
      <c r="C76" s="607"/>
      <c r="D76" s="607"/>
      <c r="E76" s="607"/>
      <c r="F76" s="607"/>
      <c r="G76" s="607"/>
      <c r="H76" s="607"/>
      <c r="I76" s="137">
        <f>'JUSTIFICATION DES BASES TRAV'!E17</f>
        <v>3381.2</v>
      </c>
      <c r="J76" s="112"/>
      <c r="L76" s="261"/>
    </row>
    <row r="77" spans="1:12" s="16" customFormat="1" ht="27.6" customHeight="1" x14ac:dyDescent="0.3">
      <c r="A77" s="631" t="s">
        <v>182</v>
      </c>
      <c r="B77" s="631"/>
      <c r="C77" s="631"/>
      <c r="D77" s="631"/>
      <c r="E77" s="631"/>
      <c r="F77" s="631"/>
      <c r="G77" s="631"/>
      <c r="H77" s="631"/>
      <c r="I77" s="208">
        <f>'JUSTIFICATION DES BASES TRAV'!E36</f>
        <v>3313.4327759999996</v>
      </c>
      <c r="J77" s="112"/>
      <c r="K77" s="157"/>
      <c r="L77" s="298"/>
    </row>
    <row r="78" spans="1:12" s="16" customFormat="1" ht="24" customHeight="1" x14ac:dyDescent="0.3">
      <c r="A78" s="638" t="s">
        <v>178</v>
      </c>
      <c r="B78" s="638"/>
      <c r="C78" s="638"/>
      <c r="D78" s="638"/>
      <c r="E78" s="609" t="s">
        <v>179</v>
      </c>
      <c r="F78" s="609"/>
      <c r="G78" s="609" t="s">
        <v>180</v>
      </c>
      <c r="H78" s="609"/>
      <c r="I78" s="136" t="s">
        <v>181</v>
      </c>
      <c r="J78" s="112"/>
      <c r="L78" s="261"/>
    </row>
    <row r="79" spans="1:12" s="16" customFormat="1" ht="24" customHeight="1" x14ac:dyDescent="0.3">
      <c r="A79" s="638"/>
      <c r="B79" s="638"/>
      <c r="C79" s="638"/>
      <c r="D79" s="638"/>
      <c r="E79" s="610">
        <f>+I77</f>
        <v>3313.4327759999996</v>
      </c>
      <c r="F79" s="611"/>
      <c r="G79" s="636">
        <f>'TAUX NEUTRE '!H12</f>
        <v>9.9000000000000005E-2</v>
      </c>
      <c r="H79" s="637"/>
      <c r="I79" s="280">
        <f>ROUND(E79*G79,2)</f>
        <v>328.03</v>
      </c>
      <c r="J79" s="112"/>
      <c r="L79" s="261"/>
    </row>
    <row r="80" spans="1:12" ht="20.25" customHeight="1" x14ac:dyDescent="0.25">
      <c r="A80" s="607" t="s">
        <v>185</v>
      </c>
      <c r="B80" s="607"/>
      <c r="C80" s="607"/>
      <c r="D80" s="607"/>
      <c r="E80" s="607"/>
      <c r="F80" s="607"/>
      <c r="G80" s="607"/>
      <c r="H80" s="607"/>
      <c r="I80" s="294">
        <f>I76-I79</f>
        <v>3053.17</v>
      </c>
      <c r="J80" s="141"/>
      <c r="K80" s="135"/>
      <c r="L80" s="296"/>
    </row>
    <row r="81" spans="1:31" ht="24.6" customHeight="1" x14ac:dyDescent="0.25">
      <c r="A81" s="608" t="s">
        <v>186</v>
      </c>
      <c r="B81" s="608"/>
      <c r="C81" s="608"/>
      <c r="D81" s="608"/>
      <c r="E81" s="608"/>
      <c r="F81" s="608"/>
      <c r="G81" s="608"/>
      <c r="H81" s="608"/>
      <c r="I81" s="294">
        <f>(J16+J17+J18+J19+J20)-I63</f>
        <v>249.29999999999998</v>
      </c>
      <c r="J81" s="141"/>
      <c r="K81" s="135"/>
    </row>
    <row r="82" spans="1:31" s="16" customFormat="1" ht="24" hidden="1" customHeight="1" x14ac:dyDescent="0.3">
      <c r="A82" s="375"/>
      <c r="B82" s="375"/>
      <c r="C82" s="375"/>
      <c r="D82" s="375"/>
      <c r="E82" s="375"/>
      <c r="F82" s="375"/>
      <c r="G82" s="375"/>
      <c r="H82" s="375"/>
      <c r="I82" s="379"/>
      <c r="J82" s="112"/>
      <c r="L82" s="261"/>
    </row>
    <row r="83" spans="1:31" s="16" customFormat="1" ht="24" hidden="1" customHeight="1" x14ac:dyDescent="0.3">
      <c r="A83" s="375"/>
      <c r="B83" s="375"/>
      <c r="C83" s="375"/>
      <c r="D83" s="375"/>
      <c r="E83" s="375"/>
      <c r="F83" s="375"/>
      <c r="G83" s="375"/>
      <c r="H83" s="375"/>
      <c r="I83" s="379"/>
      <c r="J83" s="112"/>
      <c r="L83" s="261"/>
    </row>
    <row r="84" spans="1:31" s="16" customFormat="1" ht="24" hidden="1" customHeight="1" x14ac:dyDescent="0.3">
      <c r="A84" s="375"/>
      <c r="B84" s="375"/>
      <c r="C84" s="375"/>
      <c r="D84" s="375"/>
      <c r="E84" s="375"/>
      <c r="F84" s="375"/>
      <c r="G84" s="375"/>
      <c r="H84" s="375"/>
      <c r="I84" s="379"/>
      <c r="J84" s="112"/>
      <c r="L84" s="261"/>
    </row>
    <row r="85" spans="1:31" s="16" customFormat="1" ht="24" hidden="1" customHeight="1" x14ac:dyDescent="0.3">
      <c r="A85" s="375"/>
      <c r="B85" s="375"/>
      <c r="C85" s="375"/>
      <c r="D85" s="375"/>
      <c r="E85" s="375"/>
      <c r="F85" s="375"/>
      <c r="G85" s="375"/>
      <c r="H85" s="375"/>
      <c r="I85" s="379"/>
      <c r="J85" s="112"/>
      <c r="L85" s="261"/>
    </row>
    <row r="86" spans="1:31" ht="21" hidden="1" customHeight="1" x14ac:dyDescent="0.3"/>
    <row r="87" spans="1:31" ht="21" customHeight="1" x14ac:dyDescent="0.25">
      <c r="A87" s="105"/>
      <c r="B87" s="7"/>
      <c r="C87" s="306" t="s">
        <v>366</v>
      </c>
      <c r="D87" s="307" t="s">
        <v>367</v>
      </c>
      <c r="E87" s="307" t="s">
        <v>357</v>
      </c>
      <c r="F87" s="307" t="s">
        <v>365</v>
      </c>
      <c r="G87" s="303"/>
      <c r="H87" s="303"/>
      <c r="I87" s="5"/>
      <c r="O87" s="109"/>
      <c r="P87" s="109"/>
      <c r="Q87" s="109"/>
      <c r="R87" s="109"/>
      <c r="S87" s="109"/>
      <c r="T87" s="113"/>
      <c r="U87" s="114"/>
      <c r="V87" s="113"/>
      <c r="W87" s="114"/>
      <c r="X87" s="113"/>
      <c r="Y87" s="114"/>
      <c r="Z87" s="113"/>
      <c r="AA87" s="115"/>
      <c r="AB87" s="113"/>
      <c r="AC87" s="115"/>
      <c r="AD87" s="113"/>
      <c r="AE87" s="115"/>
    </row>
    <row r="88" spans="1:31" ht="21" customHeight="1" x14ac:dyDescent="0.25">
      <c r="A88" s="105"/>
      <c r="B88" s="307" t="s">
        <v>353</v>
      </c>
      <c r="C88" s="7">
        <v>30</v>
      </c>
      <c r="D88" s="8">
        <v>7.5</v>
      </c>
      <c r="E88" s="8"/>
      <c r="F88" s="289"/>
      <c r="G88" s="304"/>
      <c r="H88" s="303"/>
      <c r="I88" s="7"/>
      <c r="O88" s="109"/>
      <c r="P88" s="109"/>
      <c r="Q88" s="109"/>
      <c r="R88" s="109"/>
      <c r="S88" s="109"/>
      <c r="T88" s="116"/>
      <c r="U88" s="115"/>
      <c r="V88" s="113"/>
      <c r="W88" s="115"/>
      <c r="X88" s="113"/>
      <c r="Y88" s="115"/>
      <c r="Z88" s="113"/>
      <c r="AA88" s="115"/>
      <c r="AB88" s="113"/>
      <c r="AC88" s="115"/>
      <c r="AD88" s="113"/>
      <c r="AE88" s="115"/>
    </row>
    <row r="89" spans="1:31" ht="21" customHeight="1" x14ac:dyDescent="0.25">
      <c r="A89" s="105"/>
      <c r="B89" s="307" t="s">
        <v>354</v>
      </c>
      <c r="C89" s="8">
        <v>30</v>
      </c>
      <c r="D89" s="8">
        <v>2.5</v>
      </c>
      <c r="E89" s="8"/>
      <c r="F89" s="289"/>
      <c r="G89" s="303"/>
      <c r="H89" s="303"/>
      <c r="I89" s="7"/>
      <c r="O89" s="109"/>
      <c r="P89" s="109"/>
      <c r="Q89" s="109"/>
      <c r="R89" s="109"/>
      <c r="S89" s="109"/>
      <c r="T89" s="113"/>
      <c r="U89" s="114"/>
      <c r="V89" s="113"/>
      <c r="W89" s="115"/>
      <c r="X89" s="113"/>
      <c r="Y89" s="115"/>
      <c r="Z89" s="113"/>
      <c r="AA89" s="115"/>
      <c r="AB89" s="113"/>
      <c r="AC89" s="115"/>
      <c r="AD89" s="113"/>
      <c r="AE89" s="115"/>
    </row>
    <row r="90" spans="1:31" ht="21" customHeight="1" x14ac:dyDescent="0.25">
      <c r="A90" s="105"/>
      <c r="B90" s="307" t="s">
        <v>355</v>
      </c>
      <c r="C90" s="8">
        <v>30</v>
      </c>
      <c r="D90" s="7"/>
      <c r="E90" s="8"/>
      <c r="F90" s="289"/>
      <c r="G90" s="304"/>
      <c r="H90" s="303"/>
      <c r="I90" s="7"/>
      <c r="O90" s="109"/>
      <c r="P90" s="109"/>
      <c r="Q90" s="109"/>
      <c r="R90" s="109"/>
      <c r="S90" s="109"/>
      <c r="T90" s="113"/>
      <c r="U90" s="115"/>
      <c r="V90" s="113"/>
      <c r="W90" s="115"/>
      <c r="X90" s="113"/>
      <c r="Y90" s="115"/>
      <c r="Z90" s="113"/>
      <c r="AA90" s="115"/>
      <c r="AB90" s="113"/>
      <c r="AC90" s="115"/>
      <c r="AD90" s="113"/>
      <c r="AE90" s="115"/>
    </row>
    <row r="91" spans="1:31" s="89" customFormat="1" ht="21" customHeight="1" x14ac:dyDescent="0.2">
      <c r="A91" s="105"/>
      <c r="B91" s="308" t="s">
        <v>356</v>
      </c>
      <c r="C91" s="8"/>
      <c r="D91" s="8">
        <f>D88+D89-D90</f>
        <v>10</v>
      </c>
      <c r="E91" s="8"/>
      <c r="F91" s="289"/>
      <c r="G91" s="303"/>
      <c r="H91" s="303"/>
      <c r="I91" s="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</row>
    <row r="92" spans="1:31" ht="21" customHeight="1" x14ac:dyDescent="0.25">
      <c r="A92" s="105"/>
      <c r="B92" s="7"/>
      <c r="C92" s="309" t="s">
        <v>358</v>
      </c>
      <c r="D92" s="309" t="s">
        <v>368</v>
      </c>
      <c r="E92" s="309" t="s">
        <v>369</v>
      </c>
      <c r="F92" s="309" t="s">
        <v>361</v>
      </c>
      <c r="G92" s="309" t="s">
        <v>362</v>
      </c>
      <c r="H92" s="309" t="s">
        <v>363</v>
      </c>
      <c r="I92" s="309" t="s">
        <v>364</v>
      </c>
      <c r="P92" s="110"/>
    </row>
    <row r="93" spans="1:31" ht="21" customHeight="1" x14ac:dyDescent="0.25">
      <c r="A93" s="323"/>
      <c r="B93" s="307" t="s">
        <v>359</v>
      </c>
      <c r="C93" s="305">
        <f>C35</f>
        <v>4005</v>
      </c>
      <c r="D93" s="317">
        <v>151.66999999999999</v>
      </c>
      <c r="E93" s="71">
        <v>22</v>
      </c>
      <c r="F93" s="305">
        <f>J35</f>
        <v>4318.9799999999996</v>
      </c>
      <c r="G93" s="305">
        <f>J34+J71</f>
        <v>6997</v>
      </c>
      <c r="H93" s="305">
        <f>+I71</f>
        <v>937.78</v>
      </c>
      <c r="I93" s="305">
        <f>+J71</f>
        <v>2678.0200000000004</v>
      </c>
      <c r="P93" s="110"/>
    </row>
    <row r="94" spans="1:31" ht="20.25" customHeight="1" x14ac:dyDescent="0.25">
      <c r="A94" s="323"/>
      <c r="B94" s="307" t="s">
        <v>360</v>
      </c>
      <c r="C94" s="739"/>
      <c r="D94" s="740"/>
      <c r="E94" s="741"/>
      <c r="F94" s="739"/>
      <c r="G94" s="739"/>
      <c r="H94" s="739"/>
      <c r="I94" s="739"/>
      <c r="J94" s="142"/>
      <c r="L94" s="111"/>
      <c r="N94" s="110"/>
      <c r="P94" s="110"/>
    </row>
    <row r="95" spans="1:31" ht="20.25" customHeight="1" x14ac:dyDescent="0.25">
      <c r="A95" s="323"/>
      <c r="B95" s="367"/>
      <c r="C95" s="365"/>
      <c r="D95" s="62"/>
      <c r="E95" s="55"/>
      <c r="F95" s="365"/>
      <c r="G95" s="365"/>
      <c r="H95" s="365"/>
      <c r="I95" s="365"/>
      <c r="J95" s="142"/>
      <c r="L95" s="111"/>
      <c r="N95" s="110"/>
      <c r="P95" s="110"/>
    </row>
    <row r="96" spans="1:31" ht="20.25" customHeight="1" x14ac:dyDescent="0.25">
      <c r="A96" s="323"/>
      <c r="B96" s="367"/>
      <c r="C96" s="365"/>
      <c r="D96" s="62"/>
      <c r="E96" s="55"/>
      <c r="F96" s="365"/>
      <c r="G96" s="365"/>
      <c r="H96" s="365"/>
      <c r="I96" s="365"/>
      <c r="J96" s="142"/>
      <c r="L96" s="111"/>
      <c r="N96" s="110"/>
      <c r="P96" s="110"/>
    </row>
    <row r="97" spans="1:16" ht="20.25" customHeight="1" x14ac:dyDescent="0.3">
      <c r="A97" s="323"/>
      <c r="C97" s="639" t="s">
        <v>134</v>
      </c>
      <c r="D97" s="640"/>
      <c r="E97" s="366" t="s">
        <v>135</v>
      </c>
      <c r="F97" s="612"/>
      <c r="G97" s="612"/>
      <c r="J97" s="142"/>
      <c r="P97" s="110"/>
    </row>
    <row r="98" spans="1:16" ht="20.25" customHeight="1" x14ac:dyDescent="0.3">
      <c r="A98" s="323"/>
      <c r="C98" s="106"/>
      <c r="E98" s="107" t="s">
        <v>22</v>
      </c>
      <c r="F98" s="107" t="s">
        <v>136</v>
      </c>
      <c r="G98" s="108" t="s">
        <v>137</v>
      </c>
      <c r="J98" s="142"/>
      <c r="P98" s="110"/>
    </row>
    <row r="99" spans="1:16" ht="20.25" customHeight="1" x14ac:dyDescent="0.3">
      <c r="A99" s="323"/>
      <c r="C99" s="606" t="s">
        <v>57</v>
      </c>
      <c r="D99" s="606"/>
      <c r="E99" s="131">
        <f>G43</f>
        <v>6.9000000000000006E-2</v>
      </c>
      <c r="F99" s="95">
        <f>E43</f>
        <v>4005</v>
      </c>
      <c r="G99" s="132">
        <f>ROUND(F99*E99,2)</f>
        <v>276.35000000000002</v>
      </c>
      <c r="J99" s="142"/>
      <c r="P99" s="110"/>
    </row>
    <row r="100" spans="1:16" ht="20.25" customHeight="1" x14ac:dyDescent="0.3">
      <c r="A100" s="323"/>
      <c r="C100" s="606" t="s">
        <v>58</v>
      </c>
      <c r="D100" s="606"/>
      <c r="E100" s="131">
        <f>G44</f>
        <v>4.0000000000000001E-3</v>
      </c>
      <c r="F100" s="95">
        <f>E44</f>
        <v>4318.9799999999996</v>
      </c>
      <c r="G100" s="132">
        <f t="shared" ref="G100:G102" si="3">ROUND(F100*E100,2)</f>
        <v>17.28</v>
      </c>
      <c r="J100" s="142"/>
      <c r="P100" s="110"/>
    </row>
    <row r="101" spans="1:16" ht="20.25" customHeight="1" x14ac:dyDescent="0.3">
      <c r="A101" s="323"/>
      <c r="C101" s="606" t="s">
        <v>59</v>
      </c>
      <c r="D101" s="606"/>
      <c r="E101" s="131">
        <f>G45</f>
        <v>4.1499999999999995E-2</v>
      </c>
      <c r="F101" s="95">
        <f>E45</f>
        <v>4005</v>
      </c>
      <c r="G101" s="132">
        <f t="shared" si="3"/>
        <v>166.21</v>
      </c>
      <c r="J101" s="142"/>
      <c r="P101" s="110"/>
    </row>
    <row r="102" spans="1:16" ht="20.25" customHeight="1" x14ac:dyDescent="0.3">
      <c r="A102" s="323"/>
      <c r="C102" s="606" t="s">
        <v>60</v>
      </c>
      <c r="D102" s="606"/>
      <c r="E102" s="131">
        <f>G46</f>
        <v>9.8600000000000007E-2</v>
      </c>
      <c r="F102" s="95">
        <f>E46</f>
        <v>313.97999999999956</v>
      </c>
      <c r="G102" s="132">
        <f t="shared" si="3"/>
        <v>30.96</v>
      </c>
      <c r="J102" s="142"/>
      <c r="P102" s="110"/>
    </row>
    <row r="103" spans="1:16" ht="20.25" customHeight="1" x14ac:dyDescent="0.3">
      <c r="A103" s="323"/>
      <c r="B103" s="11"/>
      <c r="C103" s="635" t="s">
        <v>138</v>
      </c>
      <c r="D103" s="635"/>
      <c r="E103" s="370"/>
      <c r="F103" s="371"/>
      <c r="G103" s="133">
        <f>SUM(G99:G102)</f>
        <v>490.8</v>
      </c>
      <c r="H103" s="15"/>
      <c r="I103" s="5"/>
      <c r="J103" s="142"/>
      <c r="P103" s="110"/>
    </row>
    <row r="104" spans="1:16" ht="20.25" customHeight="1" x14ac:dyDescent="0.25">
      <c r="A104" s="323"/>
      <c r="B104" s="134"/>
      <c r="C104" s="541" t="s">
        <v>139</v>
      </c>
      <c r="D104" s="541"/>
      <c r="E104" s="372"/>
      <c r="F104" s="373"/>
      <c r="G104" s="374">
        <f xml:space="preserve"> ROUND(IF(G103/F100&gt;0.1131,0.1131,G103/F100),4)</f>
        <v>0.11310000000000001</v>
      </c>
      <c r="H104" s="464"/>
      <c r="I104" s="110"/>
      <c r="J104" s="142"/>
      <c r="P104" s="110"/>
    </row>
    <row r="105" spans="1:16" ht="20.25" customHeight="1" x14ac:dyDescent="0.25">
      <c r="A105" s="323"/>
      <c r="B105" s="134"/>
      <c r="C105" s="134"/>
      <c r="D105" s="134"/>
      <c r="E105" s="369"/>
      <c r="F105" s="368"/>
      <c r="G105" s="324"/>
      <c r="H105" s="110"/>
      <c r="I105" s="110"/>
      <c r="J105" s="142"/>
      <c r="P105" s="110"/>
    </row>
    <row r="106" spans="1:16" ht="25.5" customHeight="1" x14ac:dyDescent="0.25">
      <c r="A106" s="626" t="s">
        <v>140</v>
      </c>
      <c r="B106" s="626"/>
      <c r="C106" s="626"/>
      <c r="D106" s="626"/>
      <c r="E106" s="626"/>
      <c r="F106" s="626"/>
      <c r="G106" s="626"/>
      <c r="H106" s="626"/>
      <c r="I106" s="626"/>
      <c r="J106" s="626"/>
      <c r="L106" s="111"/>
      <c r="N106" s="110"/>
      <c r="P106" s="110"/>
    </row>
    <row r="107" spans="1:16" ht="25.5" customHeight="1" x14ac:dyDescent="0.25">
      <c r="A107" s="603" t="s">
        <v>173</v>
      </c>
      <c r="B107" s="604"/>
      <c r="C107" s="604"/>
      <c r="D107" s="605"/>
      <c r="E107" s="341">
        <f>IF('MASQUE DE SAISIE '!G9&lt;50,IF('MASQUE DE SAISIE '!G15=1,IF(J35&gt;C35,C35*111.5%,J35*111.5%),IF(J34&gt;C35,J34*111.5%,J34*111.5%)),0)</f>
        <v>4815.6626999999999</v>
      </c>
      <c r="F107" s="597" t="s">
        <v>489</v>
      </c>
      <c r="G107" s="598"/>
      <c r="H107" s="342">
        <f>'TABLE DES TAUX 2026'!D26</f>
        <v>1E-3</v>
      </c>
      <c r="I107" s="344">
        <f t="shared" ref="I107:I116" si="4">ROUND(E107*H107,2)</f>
        <v>4.82</v>
      </c>
      <c r="L107" s="111"/>
      <c r="N107" s="110"/>
      <c r="P107" s="110"/>
    </row>
    <row r="108" spans="1:16" ht="25.5" hidden="1" customHeight="1" x14ac:dyDescent="0.25">
      <c r="A108" s="603" t="s">
        <v>174</v>
      </c>
      <c r="B108" s="604"/>
      <c r="C108" s="604"/>
      <c r="D108" s="605"/>
      <c r="E108" s="343">
        <f>IF('MASQUE DE SAISIE '!G9&gt;=50,IF('MASQUE DE SAISIE '!G15=1,J35*111.5%,J34*111.5%),0)</f>
        <v>0</v>
      </c>
      <c r="F108" s="597" t="s">
        <v>176</v>
      </c>
      <c r="G108" s="598"/>
      <c r="H108" s="342">
        <f>'TABLE DES TAUX 2026'!D27</f>
        <v>5.0000000000000001E-3</v>
      </c>
      <c r="I108" s="344">
        <f t="shared" si="4"/>
        <v>0</v>
      </c>
      <c r="L108" s="111"/>
      <c r="N108" s="110"/>
      <c r="P108" s="110"/>
    </row>
    <row r="109" spans="1:16" ht="0.75" customHeight="1" x14ac:dyDescent="0.25">
      <c r="A109" s="603" t="s">
        <v>175</v>
      </c>
      <c r="B109" s="604"/>
      <c r="C109" s="604"/>
      <c r="D109" s="605"/>
      <c r="E109" s="345">
        <f>IF('MASQUE DE SAISIE '!G9&gt;=11,IF('MASQUE DE SAISIE '!G15=1,'BP CORRECTION  '!J35*111.5%,'BP CORRECTION  '!J34*111.5%),0)</f>
        <v>0</v>
      </c>
      <c r="F109" s="597" t="s">
        <v>176</v>
      </c>
      <c r="G109" s="598"/>
      <c r="H109" s="342">
        <f>'MASQUE DE SAISIE '!H22</f>
        <v>0</v>
      </c>
      <c r="I109" s="344">
        <f t="shared" si="4"/>
        <v>0</v>
      </c>
      <c r="L109" s="111"/>
      <c r="N109" s="110"/>
      <c r="P109" s="110"/>
    </row>
    <row r="110" spans="1:16" ht="23.25" customHeight="1" x14ac:dyDescent="0.25">
      <c r="A110" s="603" t="s">
        <v>177</v>
      </c>
      <c r="B110" s="604"/>
      <c r="C110" s="604"/>
      <c r="D110" s="605"/>
      <c r="E110" s="345">
        <f>IF('MASQUE DE SAISIE '!G15=1,J35,J34)</f>
        <v>4318.9799999999996</v>
      </c>
      <c r="F110" s="597"/>
      <c r="G110" s="598"/>
      <c r="H110" s="342">
        <v>3.0000000000000001E-3</v>
      </c>
      <c r="I110" s="344">
        <f t="shared" si="4"/>
        <v>12.96</v>
      </c>
      <c r="L110" s="111"/>
      <c r="N110" s="110"/>
      <c r="P110" s="110"/>
    </row>
    <row r="111" spans="1:16" s="101" customFormat="1" ht="22.9" customHeight="1" x14ac:dyDescent="0.25">
      <c r="A111" s="603" t="s">
        <v>9</v>
      </c>
      <c r="B111" s="604"/>
      <c r="C111" s="604"/>
      <c r="D111" s="605"/>
      <c r="E111" s="345"/>
      <c r="F111" s="597"/>
      <c r="G111" s="598"/>
      <c r="H111" s="342">
        <v>0.08</v>
      </c>
      <c r="I111" s="344">
        <f t="shared" si="4"/>
        <v>0</v>
      </c>
      <c r="J111" s="143"/>
    </row>
    <row r="112" spans="1:16" ht="22.9" customHeight="1" x14ac:dyDescent="0.25">
      <c r="A112" s="603" t="s">
        <v>11</v>
      </c>
      <c r="B112" s="604"/>
      <c r="C112" s="604"/>
      <c r="D112" s="605"/>
      <c r="E112" s="345">
        <f>IF('MASQUE DE SAISIE '!G15=1,J35,J34)</f>
        <v>4318.9799999999996</v>
      </c>
      <c r="F112" s="597" t="s">
        <v>311</v>
      </c>
      <c r="G112" s="598"/>
      <c r="H112" s="399">
        <f>0.016%</f>
        <v>1.6000000000000001E-4</v>
      </c>
      <c r="I112" s="344">
        <f t="shared" si="4"/>
        <v>0.69</v>
      </c>
    </row>
    <row r="113" spans="1:12" ht="22.9" customHeight="1" x14ac:dyDescent="0.25">
      <c r="A113" s="603" t="s">
        <v>15</v>
      </c>
      <c r="B113" s="604"/>
      <c r="C113" s="604"/>
      <c r="D113" s="605"/>
      <c r="E113" s="345">
        <f>IF('MASQUE DE SAISIE '!G15=1,J35*111.5%,J34*111.5%)</f>
        <v>4815.6626999999999</v>
      </c>
      <c r="F113" s="597" t="s">
        <v>490</v>
      </c>
      <c r="G113" s="598"/>
      <c r="H113" s="342">
        <f>IF(B8&lt;=10,0.55%,1%)</f>
        <v>5.5000000000000005E-3</v>
      </c>
      <c r="I113" s="344">
        <f t="shared" si="4"/>
        <v>26.49</v>
      </c>
    </row>
    <row r="114" spans="1:12" ht="22.9" customHeight="1" x14ac:dyDescent="0.25">
      <c r="A114" s="603" t="s">
        <v>14</v>
      </c>
      <c r="B114" s="604"/>
      <c r="C114" s="604"/>
      <c r="D114" s="605"/>
      <c r="E114" s="345">
        <f>IF('MASQUE DE SAISIE '!G15=1,J35*120%,'BP CORRECTION  '!J34*120%)</f>
        <v>5182.7759999999989</v>
      </c>
      <c r="F114" s="597" t="s">
        <v>491</v>
      </c>
      <c r="G114" s="598"/>
      <c r="H114" s="342">
        <f>IF('MASQUE DE SAISIE '!G9&lt;11,0.35%,IF('MASQUE DE SAISIE '!G9&lt;300,0.2%,0))</f>
        <v>3.4999999999999996E-3</v>
      </c>
      <c r="I114" s="344">
        <f t="shared" si="4"/>
        <v>18.14</v>
      </c>
    </row>
    <row r="115" spans="1:12" ht="26.25" customHeight="1" x14ac:dyDescent="0.25">
      <c r="A115" s="603" t="s">
        <v>16</v>
      </c>
      <c r="B115" s="604"/>
      <c r="C115" s="604"/>
      <c r="D115" s="605"/>
      <c r="E115" s="345">
        <f>+E116</f>
        <v>0</v>
      </c>
      <c r="F115" s="597" t="s">
        <v>492</v>
      </c>
      <c r="G115" s="598"/>
      <c r="H115" s="342">
        <v>6.7999999999999996E-3</v>
      </c>
      <c r="I115" s="344">
        <f>ROUND(E115*H115,0)</f>
        <v>0</v>
      </c>
    </row>
    <row r="116" spans="1:12" s="101" customFormat="1" ht="22.9" customHeight="1" x14ac:dyDescent="0.25">
      <c r="A116" s="603" t="s">
        <v>12</v>
      </c>
      <c r="B116" s="604"/>
      <c r="C116" s="604"/>
      <c r="D116" s="605"/>
      <c r="E116" s="345">
        <f>ROUND(IF('MASQUE DE SAISIE '!G9&lt;50,0,IF('MASQUE DE SAISIE '!G15=1,'BP CORRECTION  '!J35*111.5%,'BP CORRECTION  '!J34*111.5%)),2)</f>
        <v>0</v>
      </c>
      <c r="F116" s="597" t="s">
        <v>492</v>
      </c>
      <c r="G116" s="598"/>
      <c r="H116" s="342">
        <v>4.4999999999999997E-3</v>
      </c>
      <c r="I116" s="344">
        <f t="shared" si="4"/>
        <v>0</v>
      </c>
      <c r="J116" s="143"/>
    </row>
    <row r="117" spans="1:12" ht="31.9" customHeight="1" x14ac:dyDescent="0.25">
      <c r="A117" s="595" t="s">
        <v>67</v>
      </c>
      <c r="B117" s="595"/>
      <c r="C117" s="595"/>
      <c r="D117" s="595"/>
      <c r="E117" s="596"/>
      <c r="F117" s="596"/>
      <c r="G117" s="596"/>
      <c r="H117" s="596"/>
      <c r="I117" s="398">
        <f>SUM(I107:I116)</f>
        <v>63.1</v>
      </c>
      <c r="J117" s="1" t="s">
        <v>483</v>
      </c>
      <c r="K117" s="111"/>
      <c r="L117" s="111"/>
    </row>
    <row r="118" spans="1:12" ht="45" customHeight="1" x14ac:dyDescent="0.25">
      <c r="A118" s="320"/>
      <c r="B118" s="320"/>
      <c r="C118" s="320"/>
      <c r="D118" s="320"/>
      <c r="E118" s="320"/>
      <c r="F118" s="321"/>
      <c r="G118" s="321"/>
      <c r="H118" s="322"/>
      <c r="I118" s="1"/>
    </row>
    <row r="119" spans="1:12" ht="45" hidden="1" customHeight="1" x14ac:dyDescent="0.25">
      <c r="A119" s="320"/>
      <c r="B119" s="320"/>
      <c r="C119" s="320"/>
      <c r="D119" s="320"/>
      <c r="E119" s="320"/>
      <c r="F119" s="321"/>
      <c r="G119" s="321"/>
      <c r="H119" s="322"/>
      <c r="I119" s="1"/>
    </row>
    <row r="120" spans="1:12" ht="45" hidden="1" customHeight="1" x14ac:dyDescent="0.25">
      <c r="A120" s="320"/>
      <c r="B120" s="320"/>
      <c r="C120" s="320"/>
      <c r="D120" s="320"/>
      <c r="E120" s="320"/>
      <c r="F120" s="321"/>
      <c r="G120" s="321"/>
      <c r="H120" s="322"/>
      <c r="I120" s="1"/>
    </row>
    <row r="121" spans="1:12" ht="45" hidden="1" customHeight="1" x14ac:dyDescent="0.25">
      <c r="A121" s="320"/>
      <c r="B121" s="320"/>
      <c r="C121" s="320"/>
      <c r="D121" s="320"/>
      <c r="E121" s="320"/>
      <c r="F121" s="321"/>
      <c r="G121" s="321"/>
      <c r="H121" s="322"/>
      <c r="I121" s="1"/>
    </row>
    <row r="122" spans="1:12" ht="45" hidden="1" customHeight="1" x14ac:dyDescent="0.25">
      <c r="A122" s="320"/>
      <c r="B122" s="320"/>
      <c r="C122" s="320"/>
      <c r="D122" s="320"/>
      <c r="E122" s="320"/>
      <c r="F122" s="321"/>
      <c r="G122" s="321"/>
      <c r="H122" s="322"/>
      <c r="I122" s="1"/>
    </row>
    <row r="123" spans="1:12" ht="45" hidden="1" customHeight="1" x14ac:dyDescent="0.25">
      <c r="A123" s="320"/>
      <c r="B123" s="320"/>
      <c r="C123" s="320"/>
      <c r="D123" s="320"/>
      <c r="E123" s="320"/>
      <c r="F123" s="321"/>
      <c r="G123" s="321"/>
      <c r="H123" s="322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8"/>
      <c r="K126" s="288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1"/>
    </row>
    <row r="135" spans="2:10" x14ac:dyDescent="0.3">
      <c r="C135" s="7"/>
      <c r="E135" s="627"/>
      <c r="F135" s="627"/>
      <c r="G135" s="627"/>
    </row>
    <row r="136" spans="2:10" x14ac:dyDescent="0.3">
      <c r="C136" s="396"/>
      <c r="D136" s="627"/>
      <c r="E136" s="627"/>
      <c r="F136" s="5"/>
    </row>
  </sheetData>
  <mergeCells count="160"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6:J106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185" workbookViewId="0">
      <selection activeCell="A266" sqref="A213:XFD266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8" t="s">
        <v>274</v>
      </c>
      <c r="C2" s="316" t="s">
        <v>5</v>
      </c>
      <c r="D2" s="316"/>
      <c r="E2" s="380">
        <f>'JUSTIFICATION DES BASES TRAV'!E2</f>
        <v>4051.83</v>
      </c>
    </row>
    <row r="3" spans="1:12" s="5" customFormat="1" hidden="1" x14ac:dyDescent="0.25">
      <c r="B3" s="178"/>
      <c r="C3" s="316" t="s">
        <v>314</v>
      </c>
      <c r="D3" s="316"/>
      <c r="E3" s="380">
        <f>'JUSTIFICATION DES BASES TRAV'!E3</f>
        <v>0</v>
      </c>
    </row>
    <row r="4" spans="1:12" s="5" customFormat="1" hidden="1" x14ac:dyDescent="0.25">
      <c r="B4" s="178"/>
      <c r="C4" s="316" t="s">
        <v>313</v>
      </c>
      <c r="D4" s="316"/>
      <c r="E4" s="380">
        <f>'JUSTIFICATION DES BASES TRAV'!E4</f>
        <v>0</v>
      </c>
    </row>
    <row r="5" spans="1:12" s="5" customFormat="1" x14ac:dyDescent="0.25">
      <c r="C5" s="316" t="s">
        <v>374</v>
      </c>
      <c r="D5" s="316"/>
      <c r="E5" s="380">
        <f>'JUSTIFICATION DES BASES TRAV'!E5</f>
        <v>267.14999999999998</v>
      </c>
    </row>
    <row r="6" spans="1:12" s="5" customFormat="1" hidden="1" x14ac:dyDescent="0.25">
      <c r="C6" s="316" t="s">
        <v>38</v>
      </c>
      <c r="D6" s="316"/>
      <c r="E6" s="380">
        <f>'JUSTIFICATION DES BASES TRAV'!E6</f>
        <v>0</v>
      </c>
    </row>
    <row r="7" spans="1:12" s="5" customFormat="1" hidden="1" x14ac:dyDescent="0.25">
      <c r="C7" s="316" t="s">
        <v>0</v>
      </c>
      <c r="D7" s="316"/>
      <c r="E7" s="380">
        <f>'JUSTIFICATION DES BASES TRAV'!E7</f>
        <v>0</v>
      </c>
      <c r="F7" s="5" t="s">
        <v>458</v>
      </c>
    </row>
    <row r="8" spans="1:12" s="5" customFormat="1" hidden="1" x14ac:dyDescent="0.25">
      <c r="C8" s="316" t="s">
        <v>0</v>
      </c>
      <c r="D8" s="316"/>
      <c r="E8" s="380">
        <f>'JUSTIFICATION DES BASES TRAV'!E8</f>
        <v>0</v>
      </c>
      <c r="F8" s="5" t="s">
        <v>276</v>
      </c>
      <c r="H8" s="180"/>
    </row>
    <row r="9" spans="1:12" s="5" customFormat="1" hidden="1" x14ac:dyDescent="0.25">
      <c r="C9" s="316" t="s">
        <v>389</v>
      </c>
      <c r="D9" s="316"/>
      <c r="E9" s="380">
        <f>'JUSTIFICATION DES BASES TRAV'!E9</f>
        <v>0</v>
      </c>
      <c r="J9" s="178"/>
      <c r="L9" s="381"/>
    </row>
    <row r="10" spans="1:12" s="5" customFormat="1" hidden="1" x14ac:dyDescent="0.25">
      <c r="C10" s="316" t="s">
        <v>318</v>
      </c>
      <c r="D10" s="316"/>
      <c r="E10" s="380">
        <f>'JUSTIFICATION DES BASES TRAV'!E10</f>
        <v>0</v>
      </c>
      <c r="H10" s="180"/>
    </row>
    <row r="11" spans="1:12" s="5" customFormat="1" hidden="1" x14ac:dyDescent="0.25">
      <c r="C11" s="316" t="s">
        <v>318</v>
      </c>
      <c r="D11" s="316"/>
      <c r="E11" s="380">
        <f>'JUSTIFICATION DES BASES TRAV'!E11</f>
        <v>0</v>
      </c>
      <c r="H11" s="180"/>
    </row>
    <row r="12" spans="1:12" s="5" customFormat="1" hidden="1" x14ac:dyDescent="0.25">
      <c r="C12" s="316" t="s">
        <v>300</v>
      </c>
      <c r="D12" s="316"/>
      <c r="E12" s="380">
        <f>'JUSTIFICATION DES BASES TRAV'!E12</f>
        <v>0</v>
      </c>
      <c r="H12" s="180"/>
    </row>
    <row r="13" spans="1:12" s="5" customFormat="1" x14ac:dyDescent="0.25">
      <c r="C13" s="316" t="s">
        <v>277</v>
      </c>
      <c r="D13" s="316"/>
      <c r="E13" s="380">
        <f>'JUSTIFICATION DES BASES TRAV'!E13</f>
        <v>4318.9799999999996</v>
      </c>
      <c r="H13" s="180"/>
    </row>
    <row r="14" spans="1:12" s="5" customFormat="1" hidden="1" x14ac:dyDescent="0.25">
      <c r="C14" s="316" t="s">
        <v>219</v>
      </c>
      <c r="D14" s="316"/>
      <c r="E14" s="380">
        <f>'JUSTIFICATION DES BASES TRAV'!E14</f>
        <v>0</v>
      </c>
      <c r="H14" s="179"/>
    </row>
    <row r="15" spans="1:12" s="5" customFormat="1" hidden="1" x14ac:dyDescent="0.25">
      <c r="C15" s="316" t="s">
        <v>372</v>
      </c>
      <c r="D15" s="316"/>
      <c r="E15" s="380">
        <f>'JUSTIFICATION DES BASES TRAV'!E15</f>
        <v>0</v>
      </c>
      <c r="H15" s="180"/>
    </row>
    <row r="16" spans="1:12" s="5" customFormat="1" x14ac:dyDescent="0.25">
      <c r="C16" s="316" t="s">
        <v>278</v>
      </c>
      <c r="D16" s="316"/>
      <c r="E16" s="380">
        <f>'JUSTIFICATION DES BASES TRAV'!E16</f>
        <v>-937.78</v>
      </c>
    </row>
    <row r="17" spans="1:6" s="5" customFormat="1" ht="14.45" customHeight="1" x14ac:dyDescent="0.25">
      <c r="C17" s="707" t="s">
        <v>274</v>
      </c>
      <c r="D17" s="707"/>
      <c r="E17" s="382">
        <f>SUM(E13:E16)</f>
        <v>3381.2</v>
      </c>
    </row>
    <row r="18" spans="1:6" s="5" customFormat="1" x14ac:dyDescent="0.25"/>
    <row r="19" spans="1:6" s="5" customFormat="1" x14ac:dyDescent="0.25"/>
    <row r="20" spans="1:6" s="5" customFormat="1" x14ac:dyDescent="0.25">
      <c r="A20" s="178" t="s">
        <v>285</v>
      </c>
      <c r="C20" s="316" t="s">
        <v>286</v>
      </c>
      <c r="D20" s="316"/>
      <c r="E20" s="380">
        <f>'JUSTIFICATION DES BASES TRAV'!L2</f>
        <v>4318.9799999999996</v>
      </c>
    </row>
    <row r="21" spans="1:6" s="5" customFormat="1" x14ac:dyDescent="0.25">
      <c r="C21" s="316" t="s">
        <v>287</v>
      </c>
      <c r="D21" s="316"/>
      <c r="E21" s="380">
        <f>'JUSTIFICATION DES BASES TRAV'!L3</f>
        <v>-937.78</v>
      </c>
    </row>
    <row r="22" spans="1:6" s="5" customFormat="1" hidden="1" x14ac:dyDescent="0.25">
      <c r="B22" s="11" t="s">
        <v>309</v>
      </c>
      <c r="C22" s="316" t="s">
        <v>288</v>
      </c>
      <c r="D22" s="316"/>
      <c r="E22" s="380">
        <f>'JUSTIFICATION DES BASES TRAV'!L4</f>
        <v>0</v>
      </c>
      <c r="F22" s="5" t="s">
        <v>395</v>
      </c>
    </row>
    <row r="23" spans="1:6" s="5" customFormat="1" hidden="1" x14ac:dyDescent="0.25">
      <c r="C23" s="316" t="s">
        <v>171</v>
      </c>
      <c r="D23" s="316"/>
      <c r="E23" s="380">
        <f>'JUSTIFICATION DES BASES TRAV'!L5</f>
        <v>0</v>
      </c>
    </row>
    <row r="24" spans="1:6" s="5" customFormat="1" hidden="1" x14ac:dyDescent="0.25">
      <c r="C24" s="316" t="s">
        <v>317</v>
      </c>
      <c r="D24" s="316"/>
      <c r="E24" s="380">
        <f>'JUSTIFICATION DES BASES TRAV'!L6</f>
        <v>0</v>
      </c>
    </row>
    <row r="25" spans="1:6" s="5" customFormat="1" hidden="1" x14ac:dyDescent="0.25">
      <c r="E25" s="380">
        <f>'JUSTIFICATION DES BASES TRAV'!L7</f>
        <v>0</v>
      </c>
    </row>
    <row r="26" spans="1:6" s="5" customFormat="1" x14ac:dyDescent="0.25">
      <c r="C26" s="705" t="s">
        <v>285</v>
      </c>
      <c r="D26" s="705"/>
      <c r="E26" s="382">
        <f>'JUSTIFICATION DES BASES TRAV'!L8</f>
        <v>3381.2</v>
      </c>
    </row>
    <row r="27" spans="1:6" s="5" customFormat="1" x14ac:dyDescent="0.25">
      <c r="A27" s="11"/>
      <c r="C27" s="178"/>
      <c r="E27" s="381"/>
    </row>
    <row r="28" spans="1:6" s="5" customFormat="1" x14ac:dyDescent="0.25">
      <c r="C28" s="178"/>
      <c r="E28" s="381"/>
    </row>
    <row r="29" spans="1:6" s="5" customFormat="1" x14ac:dyDescent="0.25">
      <c r="A29" s="708" t="s">
        <v>323</v>
      </c>
      <c r="B29" s="708"/>
      <c r="C29" s="708"/>
      <c r="D29" s="708"/>
      <c r="E29" s="708"/>
      <c r="F29" s="708"/>
    </row>
    <row r="30" spans="1:6" s="5" customFormat="1" x14ac:dyDescent="0.25">
      <c r="C30" s="178"/>
      <c r="E30" s="381"/>
    </row>
    <row r="31" spans="1:6" s="5" customFormat="1" x14ac:dyDescent="0.25">
      <c r="C31" s="178"/>
      <c r="D31" s="316" t="s">
        <v>5</v>
      </c>
      <c r="E31" s="380">
        <f>'JUSTIFICATION DES BASES TRAV'!O20</f>
        <v>4051.83</v>
      </c>
    </row>
    <row r="32" spans="1:6" s="5" customFormat="1" hidden="1" x14ac:dyDescent="0.25">
      <c r="C32" s="178"/>
      <c r="D32" s="316" t="s">
        <v>314</v>
      </c>
      <c r="E32" s="380">
        <f>'JUSTIFICATION DES BASES TRAV'!O21</f>
        <v>0</v>
      </c>
    </row>
    <row r="33" spans="3:11" s="5" customFormat="1" hidden="1" x14ac:dyDescent="0.25">
      <c r="C33" s="178"/>
      <c r="D33" s="316" t="s">
        <v>313</v>
      </c>
      <c r="E33" s="380">
        <f>'JUSTIFICATION DES BASES TRAV'!O22</f>
        <v>0</v>
      </c>
    </row>
    <row r="34" spans="3:11" s="5" customFormat="1" hidden="1" x14ac:dyDescent="0.25">
      <c r="C34" s="178"/>
      <c r="D34" s="316" t="s">
        <v>322</v>
      </c>
      <c r="E34" s="380">
        <f>'JUSTIFICATION DES BASES TRAV'!O23</f>
        <v>0</v>
      </c>
    </row>
    <row r="35" spans="3:11" s="5" customFormat="1" hidden="1" x14ac:dyDescent="0.25">
      <c r="C35" s="178"/>
      <c r="D35" s="316" t="s">
        <v>38</v>
      </c>
      <c r="E35" s="380">
        <f>'JUSTIFICATION DES BASES TRAV'!O24</f>
        <v>0</v>
      </c>
    </row>
    <row r="36" spans="3:11" s="5" customFormat="1" hidden="1" x14ac:dyDescent="0.25">
      <c r="C36" s="178"/>
      <c r="D36" s="316" t="s">
        <v>0</v>
      </c>
      <c r="E36" s="380">
        <f>'JUSTIFICATION DES BASES TRAV'!O25</f>
        <v>0</v>
      </c>
      <c r="F36" s="5" t="s">
        <v>459</v>
      </c>
    </row>
    <row r="37" spans="3:11" s="5" customFormat="1" hidden="1" x14ac:dyDescent="0.25">
      <c r="C37" s="178"/>
      <c r="D37" s="316" t="s">
        <v>0</v>
      </c>
      <c r="E37" s="380">
        <f>'JUSTIFICATION DES BASES TRAV'!O26</f>
        <v>0</v>
      </c>
    </row>
    <row r="38" spans="3:11" s="5" customFormat="1" hidden="1" x14ac:dyDescent="0.25">
      <c r="D38" s="316" t="s">
        <v>318</v>
      </c>
      <c r="E38" s="380">
        <f>'JUSTIFICATION DES BASES TRAV'!O27</f>
        <v>0</v>
      </c>
    </row>
    <row r="39" spans="3:11" s="5" customFormat="1" hidden="1" x14ac:dyDescent="0.25">
      <c r="D39" s="316" t="s">
        <v>318</v>
      </c>
      <c r="E39" s="380">
        <f>'JUSTIFICATION DES BASES TRAV'!O28</f>
        <v>0</v>
      </c>
    </row>
    <row r="40" spans="3:11" s="5" customFormat="1" hidden="1" x14ac:dyDescent="0.25">
      <c r="D40" s="380" t="s">
        <v>300</v>
      </c>
      <c r="E40" s="380">
        <f>'JUSTIFICATION DES BASES TRAV'!O29</f>
        <v>0</v>
      </c>
      <c r="K40" s="383"/>
    </row>
    <row r="41" spans="3:11" s="5" customFormat="1" x14ac:dyDescent="0.25">
      <c r="C41" s="316"/>
      <c r="D41" s="380"/>
      <c r="E41" s="380">
        <f>'JUSTIFICATION DES BASES TRAV'!O30</f>
        <v>4051.83</v>
      </c>
      <c r="F41" s="316"/>
      <c r="G41" s="316"/>
      <c r="H41" s="316"/>
      <c r="I41" s="316"/>
      <c r="K41" s="383"/>
    </row>
    <row r="42" spans="3:11" s="5" customFormat="1" x14ac:dyDescent="0.25">
      <c r="C42" s="316"/>
      <c r="E42" s="380">
        <f>'JUSTIFICATION DES BASES TRAV'!O31</f>
        <v>0</v>
      </c>
      <c r="F42" s="316"/>
      <c r="G42" s="709"/>
      <c r="H42" s="709"/>
      <c r="I42" s="709"/>
      <c r="K42" s="383"/>
    </row>
    <row r="43" spans="3:11" s="5" customFormat="1" x14ac:dyDescent="0.25">
      <c r="C43" s="316"/>
      <c r="D43" s="316" t="s">
        <v>321</v>
      </c>
      <c r="E43" s="380">
        <f>'JUSTIFICATION DES BASES TRAV'!O32</f>
        <v>3980.92</v>
      </c>
      <c r="F43" s="316"/>
      <c r="G43" s="385"/>
      <c r="H43" s="385"/>
      <c r="I43" s="385"/>
      <c r="K43" s="383"/>
    </row>
    <row r="44" spans="3:11" s="5" customFormat="1" ht="14.45" hidden="1" customHeight="1" x14ac:dyDescent="0.25">
      <c r="E44" s="380">
        <f>'JUSTIFICATION DES BASES TRAV'!O33</f>
        <v>0</v>
      </c>
      <c r="F44" s="316"/>
      <c r="G44" s="316"/>
      <c r="H44" s="316"/>
      <c r="I44" s="316"/>
      <c r="K44" s="383"/>
    </row>
    <row r="45" spans="3:11" s="5" customFormat="1" ht="14.45" hidden="1" customHeight="1" x14ac:dyDescent="0.25">
      <c r="C45" s="384"/>
      <c r="D45" s="384"/>
      <c r="E45" s="380">
        <f>'JUSTIFICATION DES BASES TRAV'!O34</f>
        <v>0</v>
      </c>
      <c r="F45" s="316"/>
      <c r="G45" s="316"/>
      <c r="H45" s="316"/>
      <c r="I45" s="316"/>
      <c r="K45" s="383"/>
    </row>
    <row r="46" spans="3:11" s="5" customFormat="1" ht="14.45" customHeight="1" x14ac:dyDescent="0.25">
      <c r="C46" s="384"/>
      <c r="D46" s="384"/>
      <c r="E46" s="380">
        <f>'JUSTIFICATION DES BASES TRAV'!O35</f>
        <v>50</v>
      </c>
      <c r="F46" s="316"/>
      <c r="G46" s="316"/>
      <c r="H46" s="316"/>
      <c r="I46" s="316"/>
      <c r="K46" s="383"/>
    </row>
    <row r="47" spans="3:11" s="5" customFormat="1" ht="12.6" customHeight="1" x14ac:dyDescent="0.25">
      <c r="C47" s="709" t="s">
        <v>479</v>
      </c>
      <c r="D47" s="709"/>
      <c r="E47" s="380">
        <f>'JUSTIFICATION DES BASES TRAV'!O36+'BP CORRECTION  '!J69</f>
        <v>67.12</v>
      </c>
      <c r="F47" s="316"/>
      <c r="G47" s="316"/>
      <c r="H47" s="316"/>
      <c r="I47" s="316"/>
      <c r="K47" s="383"/>
    </row>
    <row r="48" spans="3:11" s="5" customFormat="1" hidden="1" x14ac:dyDescent="0.25">
      <c r="C48" s="316"/>
      <c r="D48" s="316"/>
      <c r="F48" s="316"/>
      <c r="G48" s="316"/>
      <c r="H48" s="316"/>
      <c r="I48" s="316"/>
      <c r="K48" s="383"/>
    </row>
    <row r="49" spans="1:11" s="5" customFormat="1" x14ac:dyDescent="0.25">
      <c r="C49" s="707" t="s">
        <v>323</v>
      </c>
      <c r="D49" s="707"/>
      <c r="E49" s="382">
        <f>'JUSTIFICATION DES BASES TRAV'!O37</f>
        <v>4094.52</v>
      </c>
      <c r="F49" s="316"/>
      <c r="G49" s="316"/>
      <c r="H49" s="316"/>
      <c r="I49" s="316"/>
      <c r="K49" s="383"/>
    </row>
    <row r="50" spans="1:11" s="5" customFormat="1" x14ac:dyDescent="0.25">
      <c r="C50" s="316"/>
      <c r="D50" s="316"/>
      <c r="E50" s="316"/>
      <c r="F50" s="316"/>
      <c r="G50" s="316"/>
      <c r="H50" s="316"/>
      <c r="I50" s="316"/>
      <c r="K50" s="383"/>
    </row>
    <row r="51" spans="1:11" s="5" customFormat="1" x14ac:dyDescent="0.25"/>
    <row r="52" spans="1:11" s="5" customFormat="1" x14ac:dyDescent="0.25">
      <c r="K52" s="383"/>
    </row>
    <row r="53" spans="1:11" s="5" customFormat="1" x14ac:dyDescent="0.25">
      <c r="K53" s="383"/>
    </row>
    <row r="54" spans="1:11" s="5" customFormat="1" x14ac:dyDescent="0.25">
      <c r="K54" s="383"/>
    </row>
    <row r="55" spans="1:11" s="5" customFormat="1" x14ac:dyDescent="0.25">
      <c r="H55" s="180"/>
      <c r="J55" s="179"/>
    </row>
    <row r="56" spans="1:11" s="5" customFormat="1" x14ac:dyDescent="0.25">
      <c r="J56" s="181"/>
      <c r="K56" s="11"/>
    </row>
    <row r="57" spans="1:11" s="5" customFormat="1" x14ac:dyDescent="0.25">
      <c r="J57" s="181"/>
      <c r="K57" s="11"/>
    </row>
    <row r="58" spans="1:11" s="5" customFormat="1" x14ac:dyDescent="0.25">
      <c r="J58" s="181"/>
      <c r="K58" s="11"/>
    </row>
    <row r="59" spans="1:11" s="5" customFormat="1" x14ac:dyDescent="0.25">
      <c r="E59" s="386" t="s">
        <v>460</v>
      </c>
      <c r="H59" s="11"/>
    </row>
    <row r="60" spans="1:11" s="5" customFormat="1" x14ac:dyDescent="0.25"/>
    <row r="61" spans="1:11" s="5" customFormat="1" x14ac:dyDescent="0.25">
      <c r="A61" s="178" t="s">
        <v>182</v>
      </c>
      <c r="E61" s="380">
        <f>+'JUSTIFICATION DES BASES TRAV'!E21</f>
        <v>3381.2</v>
      </c>
      <c r="H61" s="180"/>
    </row>
    <row r="62" spans="1:11" s="5" customFormat="1" x14ac:dyDescent="0.25">
      <c r="B62" s="5" t="s">
        <v>374</v>
      </c>
      <c r="E62" s="380">
        <f>+'JUSTIFICATION DES BASES TRAV'!E22</f>
        <v>-267.14999999999998</v>
      </c>
      <c r="H62" s="180"/>
    </row>
    <row r="63" spans="1:11" s="5" customFormat="1" ht="14.45" hidden="1" customHeight="1" x14ac:dyDescent="0.25">
      <c r="B63" s="5" t="s">
        <v>319</v>
      </c>
      <c r="E63" s="380">
        <f>+'JUSTIFICATION DES BASES TRAV'!E23</f>
        <v>0</v>
      </c>
      <c r="H63" s="180"/>
    </row>
    <row r="64" spans="1:11" s="5" customFormat="1" hidden="1" x14ac:dyDescent="0.25">
      <c r="A64" s="12" t="s">
        <v>283</v>
      </c>
      <c r="E64" s="380">
        <f>+'JUSTIFICATION DES BASES TRAV'!E24</f>
        <v>0</v>
      </c>
      <c r="F64" s="5" t="s">
        <v>320</v>
      </c>
      <c r="H64" s="180"/>
    </row>
    <row r="65" spans="2:8" s="5" customFormat="1" ht="14.45" hidden="1" customHeight="1" x14ac:dyDescent="0.25">
      <c r="B65" s="5" t="s">
        <v>317</v>
      </c>
      <c r="E65" s="380">
        <f>+'JUSTIFICATION DES BASES TRAV'!E25</f>
        <v>0</v>
      </c>
      <c r="H65" s="180"/>
    </row>
    <row r="66" spans="2:8" s="5" customFormat="1" hidden="1" x14ac:dyDescent="0.25">
      <c r="B66" s="5" t="s">
        <v>171</v>
      </c>
      <c r="E66" s="380">
        <f>+'JUSTIFICATION DES BASES TRAV'!E26</f>
        <v>0</v>
      </c>
      <c r="H66" s="180"/>
    </row>
    <row r="67" spans="2:8" s="5" customFormat="1" hidden="1" x14ac:dyDescent="0.25">
      <c r="B67" s="5" t="s">
        <v>461</v>
      </c>
      <c r="E67" s="380">
        <f>+'JUSTIFICATION DES BASES TRAV'!E27</f>
        <v>0</v>
      </c>
      <c r="F67" s="178"/>
      <c r="H67" s="180"/>
    </row>
    <row r="68" spans="2:8" s="5" customFormat="1" hidden="1" x14ac:dyDescent="0.25">
      <c r="F68" s="178"/>
      <c r="H68" s="180"/>
    </row>
    <row r="69" spans="2:8" s="5" customFormat="1" x14ac:dyDescent="0.25">
      <c r="B69" s="5" t="s">
        <v>552</v>
      </c>
      <c r="E69" s="380">
        <f>+'JUSTIFICATION DES BASES TRAV'!E28</f>
        <v>118.74</v>
      </c>
      <c r="H69" s="381"/>
    </row>
    <row r="70" spans="2:8" s="5" customFormat="1" x14ac:dyDescent="0.25">
      <c r="B70" s="5" t="s">
        <v>279</v>
      </c>
      <c r="E70" s="180">
        <f>'JUSTIFICATION DES BASES TRAV'!E29</f>
        <v>17.850000000000001</v>
      </c>
      <c r="H70" s="180"/>
    </row>
    <row r="71" spans="2:8" s="5" customFormat="1" ht="14.45" customHeight="1" x14ac:dyDescent="0.25">
      <c r="B71" s="5" t="s">
        <v>280</v>
      </c>
      <c r="E71" s="380">
        <f>+'JUSTIFICATION DES BASES TRAV'!E30</f>
        <v>7.61</v>
      </c>
    </row>
    <row r="72" spans="2:8" s="5" customFormat="1" ht="14.45" customHeight="1" x14ac:dyDescent="0.25">
      <c r="B72" s="5" t="s">
        <v>553</v>
      </c>
      <c r="E72" s="380">
        <f>+'JUSTIFICATION DES BASES TRAV'!E31</f>
        <v>5.1827759999999987</v>
      </c>
    </row>
    <row r="73" spans="2:8" s="5" customFormat="1" ht="14.45" hidden="1" customHeight="1" x14ac:dyDescent="0.25">
      <c r="E73" s="380">
        <f>+'JUSTIFICATION DES BASES TRAV'!E34</f>
        <v>0</v>
      </c>
    </row>
    <row r="74" spans="2:8" s="5" customFormat="1" ht="14.45" customHeight="1" x14ac:dyDescent="0.25">
      <c r="B74" s="703" t="s">
        <v>282</v>
      </c>
      <c r="C74" s="703"/>
      <c r="D74" s="703"/>
      <c r="E74" s="380">
        <f>+'JUSTIFICATION DES BASES TRAV'!E35</f>
        <v>50</v>
      </c>
    </row>
    <row r="75" spans="2:8" s="5" customFormat="1" x14ac:dyDescent="0.25">
      <c r="C75" s="701" t="s">
        <v>182</v>
      </c>
      <c r="D75" s="701"/>
      <c r="E75" s="382">
        <f>+'JUSTIFICATION DES BASES TRAV'!E36</f>
        <v>3313.4327759999996</v>
      </c>
    </row>
    <row r="76" spans="2:8" s="5" customFormat="1" x14ac:dyDescent="0.25">
      <c r="B76" s="316"/>
      <c r="E76" s="380"/>
    </row>
    <row r="77" spans="2:8" s="5" customFormat="1" hidden="1" x14ac:dyDescent="0.25">
      <c r="B77" s="316"/>
      <c r="E77" s="380"/>
    </row>
    <row r="78" spans="2:8" s="5" customFormat="1" hidden="1" x14ac:dyDescent="0.25">
      <c r="B78" s="316"/>
      <c r="E78" s="380"/>
    </row>
    <row r="79" spans="2:8" s="5" customFormat="1" hidden="1" x14ac:dyDescent="0.25">
      <c r="B79" s="316"/>
      <c r="E79" s="380"/>
    </row>
    <row r="80" spans="2:8" s="5" customFormat="1" hidden="1" x14ac:dyDescent="0.25">
      <c r="E80" s="380"/>
    </row>
    <row r="81" spans="1:16" s="5" customFormat="1" hidden="1" x14ac:dyDescent="0.25">
      <c r="E81" s="381"/>
      <c r="F81" s="180"/>
      <c r="G81" s="180"/>
    </row>
    <row r="82" spans="1:16" s="5" customFormat="1" x14ac:dyDescent="0.25"/>
    <row r="83" spans="1:16" s="5" customFormat="1" x14ac:dyDescent="0.25">
      <c r="B83" s="5" t="s">
        <v>284</v>
      </c>
      <c r="F83" s="180">
        <f>+'JUSTIFICATION DES BASES TRAV'!F38</f>
        <v>267.14999999999998</v>
      </c>
    </row>
    <row r="84" spans="1:16" s="5" customFormat="1" ht="13.9" customHeight="1" x14ac:dyDescent="0.25">
      <c r="B84" s="5" t="s">
        <v>50</v>
      </c>
      <c r="F84" s="180">
        <f>+'JUSTIFICATION DES BASES TRAV'!F39</f>
        <v>-17.850000000000001</v>
      </c>
      <c r="I84" s="11"/>
      <c r="J84" s="702"/>
      <c r="K84" s="702"/>
      <c r="L84" s="702"/>
      <c r="M84" s="702"/>
      <c r="N84" s="702"/>
      <c r="O84" s="702"/>
    </row>
    <row r="85" spans="1:16" s="5" customFormat="1" ht="13.9" customHeight="1" x14ac:dyDescent="0.25">
      <c r="F85" s="257">
        <f>SUM(F83:F84)</f>
        <v>249.29999999999998</v>
      </c>
      <c r="G85" s="5" t="s">
        <v>484</v>
      </c>
      <c r="J85" s="702"/>
      <c r="K85" s="702"/>
      <c r="L85" s="702"/>
      <c r="M85" s="702"/>
      <c r="N85" s="702"/>
      <c r="O85" s="702"/>
    </row>
    <row r="86" spans="1:16" s="5" customFormat="1" x14ac:dyDescent="0.25">
      <c r="J86" s="702"/>
      <c r="K86" s="702"/>
      <c r="L86" s="702"/>
      <c r="M86" s="702"/>
      <c r="N86" s="702"/>
      <c r="O86" s="702"/>
    </row>
    <row r="87" spans="1:16" s="5" customFormat="1" x14ac:dyDescent="0.25">
      <c r="B87" s="176">
        <v>45778</v>
      </c>
      <c r="C87" s="5" t="s">
        <v>290</v>
      </c>
    </row>
    <row r="88" spans="1:16" s="5" customFormat="1" x14ac:dyDescent="0.25">
      <c r="B88" s="177">
        <f>+'JUSTIFICATION DES BASES TRAV'!B43</f>
        <v>12</v>
      </c>
      <c r="C88" s="5" t="s">
        <v>462</v>
      </c>
      <c r="L88" s="5" t="s">
        <v>463</v>
      </c>
    </row>
    <row r="89" spans="1:16" s="5" customFormat="1" x14ac:dyDescent="0.25">
      <c r="B89" s="177"/>
      <c r="C89" s="5" t="s">
        <v>555</v>
      </c>
    </row>
    <row r="90" spans="1:16" s="5" customFormat="1" x14ac:dyDescent="0.25">
      <c r="B90" s="387"/>
    </row>
    <row r="91" spans="1:16" s="5" customFormat="1" x14ac:dyDescent="0.25">
      <c r="B91" s="387" t="s">
        <v>531</v>
      </c>
      <c r="C91" s="179">
        <f>'RGDU '!C46</f>
        <v>174.92</v>
      </c>
      <c r="G91" s="11"/>
    </row>
    <row r="92" spans="1:16" s="5" customFormat="1" x14ac:dyDescent="0.25"/>
    <row r="93" spans="1:16" s="5" customFormat="1" ht="18.75" x14ac:dyDescent="0.3">
      <c r="A93" s="705" t="s">
        <v>480</v>
      </c>
      <c r="B93" s="706"/>
      <c r="C93" s="258">
        <f>C91+B88</f>
        <v>186.92</v>
      </c>
      <c r="H93" s="703"/>
      <c r="I93" s="703"/>
      <c r="J93" s="443"/>
      <c r="M93"/>
      <c r="N93"/>
      <c r="O93" s="13"/>
      <c r="P93" s="13"/>
    </row>
    <row r="94" spans="1:16" s="5" customFormat="1" ht="16.899999999999999" customHeight="1" x14ac:dyDescent="0.3">
      <c r="C94" s="179"/>
      <c r="H94" s="703"/>
      <c r="I94" s="703"/>
      <c r="J94" s="444"/>
      <c r="M94"/>
      <c r="N94"/>
      <c r="O94" s="13"/>
      <c r="P94" s="13"/>
    </row>
    <row r="95" spans="1:16" s="5" customFormat="1" ht="18.75" hidden="1" x14ac:dyDescent="0.3">
      <c r="C95" s="179"/>
      <c r="H95" s="9"/>
      <c r="I95" s="9"/>
      <c r="J95" s="111"/>
      <c r="M95"/>
      <c r="N95"/>
      <c r="O95" s="13"/>
      <c r="P95" s="13"/>
    </row>
    <row r="96" spans="1:16" s="5" customFormat="1" ht="18.75" x14ac:dyDescent="0.3">
      <c r="C96" s="704"/>
      <c r="D96" s="704"/>
      <c r="H96" s="9"/>
      <c r="I96" s="9"/>
      <c r="J96" s="111"/>
      <c r="M96"/>
      <c r="N96"/>
      <c r="O96" s="13"/>
      <c r="P96" s="13"/>
    </row>
    <row r="97" spans="1:16" s="5" customFormat="1" ht="18.75" x14ac:dyDescent="0.3">
      <c r="C97" s="179"/>
      <c r="K97" s="445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8"/>
      <c r="C100" s="281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1"/>
    </row>
    <row r="102" spans="1:16" s="5" customFormat="1" ht="1.9" customHeight="1" x14ac:dyDescent="0.25">
      <c r="A102" s="703" t="s">
        <v>331</v>
      </c>
      <c r="B102" s="703"/>
      <c r="C102" s="703"/>
      <c r="D102" s="703"/>
      <c r="E102" s="703"/>
    </row>
    <row r="103" spans="1:16" s="5" customFormat="1" ht="1.9" customHeight="1" x14ac:dyDescent="0.25">
      <c r="C103" s="281"/>
    </row>
    <row r="104" spans="1:16" s="5" customFormat="1" ht="1.1499999999999999" customHeight="1" x14ac:dyDescent="0.25">
      <c r="A104" s="606" t="s">
        <v>42</v>
      </c>
      <c r="B104" s="606"/>
      <c r="C104" s="606"/>
      <c r="D104" s="606"/>
      <c r="E104" s="207">
        <f>'[2]BP CORRECTION  '!E54</f>
        <v>2096.9699999999998</v>
      </c>
    </row>
    <row r="105" spans="1:16" s="5" customFormat="1" ht="1.9" hidden="1" customHeight="1" x14ac:dyDescent="0.25">
      <c r="A105" s="606" t="s">
        <v>40</v>
      </c>
      <c r="B105" s="606"/>
      <c r="C105" s="606"/>
      <c r="D105" s="606"/>
      <c r="E105" s="207">
        <f>'[2]BP CORRECTION  '!E55</f>
        <v>2000</v>
      </c>
    </row>
    <row r="106" spans="1:16" s="5" customFormat="1" ht="1.9" hidden="1" customHeight="1" x14ac:dyDescent="0.25">
      <c r="A106" s="606" t="s">
        <v>41</v>
      </c>
      <c r="B106" s="606"/>
      <c r="C106" s="606"/>
      <c r="D106" s="606"/>
      <c r="E106" s="207" t="e">
        <f>'[2]BP CORRECTION  '!#REF!</f>
        <v>#REF!</v>
      </c>
    </row>
    <row r="107" spans="1:16" s="5" customFormat="1" ht="1.9" hidden="1" customHeight="1" x14ac:dyDescent="0.25">
      <c r="A107" s="606" t="s">
        <v>18</v>
      </c>
      <c r="B107" s="606"/>
      <c r="C107" s="606"/>
      <c r="D107" s="606"/>
      <c r="E107" s="207">
        <f>'[2]BP CORRECTION  '!E56</f>
        <v>2262.8000000000002</v>
      </c>
    </row>
    <row r="108" spans="1:16" ht="1.9" hidden="1" customHeight="1" x14ac:dyDescent="0.25">
      <c r="A108" s="700" t="s">
        <v>1</v>
      </c>
      <c r="B108" s="700"/>
      <c r="C108" s="700"/>
      <c r="D108" s="700"/>
      <c r="E108" s="184"/>
    </row>
    <row r="109" spans="1:16" ht="1.9" hidden="1" customHeight="1" x14ac:dyDescent="0.25">
      <c r="A109" s="700" t="s">
        <v>20</v>
      </c>
      <c r="B109" s="700"/>
      <c r="C109" s="700"/>
      <c r="D109" s="700"/>
      <c r="E109" s="184">
        <f>'[2]BP CORRECTION  '!E60</f>
        <v>0</v>
      </c>
    </row>
    <row r="110" spans="1:16" ht="1.9" hidden="1" customHeight="1" x14ac:dyDescent="0.25">
      <c r="A110" s="700" t="s">
        <v>2</v>
      </c>
      <c r="B110" s="700"/>
      <c r="C110" s="700"/>
      <c r="D110" s="700"/>
      <c r="E110" s="184">
        <f>'[2]BP CORRECTION  '!E61</f>
        <v>0</v>
      </c>
    </row>
    <row r="111" spans="1:16" ht="1.9" hidden="1" customHeight="1" x14ac:dyDescent="0.25">
      <c r="A111" s="700" t="s">
        <v>3</v>
      </c>
      <c r="B111" s="700"/>
      <c r="C111" s="700"/>
      <c r="D111" s="700"/>
      <c r="E111" s="184">
        <f>'[2]BP CORRECTION  '!E62</f>
        <v>0</v>
      </c>
    </row>
    <row r="112" spans="1:16" ht="1.9" hidden="1" customHeight="1" x14ac:dyDescent="0.25">
      <c r="A112" s="700" t="s">
        <v>4</v>
      </c>
      <c r="B112" s="700"/>
      <c r="C112" s="700"/>
      <c r="D112" s="700"/>
      <c r="E112" s="184">
        <f>'[2]BP CORRECTION  '!E63</f>
        <v>0</v>
      </c>
    </row>
    <row r="113" spans="1:5" ht="1.9" hidden="1" customHeight="1" x14ac:dyDescent="0.25">
      <c r="A113" s="700" t="s">
        <v>17</v>
      </c>
      <c r="B113" s="700"/>
      <c r="C113" s="700"/>
      <c r="D113" s="700"/>
      <c r="E113" s="184">
        <f>'[2]BP CORRECTION  '!E64</f>
        <v>2541.4417999999996</v>
      </c>
    </row>
    <row r="114" spans="1:5" ht="1.9" hidden="1" customHeight="1" x14ac:dyDescent="0.25">
      <c r="A114" s="699" t="s">
        <v>49</v>
      </c>
      <c r="B114" s="699"/>
      <c r="C114" s="699"/>
      <c r="D114" s="699"/>
      <c r="E114" s="184">
        <f>'[2]BP CORRECTION  '!E65</f>
        <v>2198.36</v>
      </c>
    </row>
    <row r="115" spans="1:5" ht="1.9" hidden="1" customHeight="1" x14ac:dyDescent="0.25">
      <c r="A115" s="699" t="s">
        <v>19</v>
      </c>
      <c r="B115" s="699"/>
      <c r="C115" s="699"/>
      <c r="D115" s="699"/>
      <c r="E115" s="184">
        <f>'[2]BP CORRECTION  '!E66</f>
        <v>2198.36</v>
      </c>
    </row>
    <row r="116" spans="1:5" ht="1.9" hidden="1" customHeight="1" x14ac:dyDescent="0.25">
      <c r="A116" s="699" t="s">
        <v>50</v>
      </c>
      <c r="B116" s="699"/>
      <c r="C116" s="699"/>
      <c r="D116" s="699"/>
      <c r="E116" s="184">
        <f>'[2]BP CORRECTION  '!E67</f>
        <v>0</v>
      </c>
    </row>
    <row r="117" spans="1:5" ht="1.9" hidden="1" customHeight="1" x14ac:dyDescent="0.25">
      <c r="A117" s="699" t="s">
        <v>51</v>
      </c>
      <c r="B117" s="699"/>
      <c r="C117" s="699"/>
      <c r="D117" s="699"/>
      <c r="E117" s="184">
        <f>'[2]BP CORRECTION  '!E68</f>
        <v>0</v>
      </c>
    </row>
    <row r="118" spans="1:5" ht="1.9" hidden="1" customHeight="1" x14ac:dyDescent="0.25">
      <c r="A118" s="192"/>
      <c r="B118" s="192"/>
      <c r="C118" s="192"/>
      <c r="D118" s="192"/>
      <c r="E118" s="185"/>
    </row>
    <row r="119" spans="1:5" ht="45" hidden="1" customHeight="1" x14ac:dyDescent="0.25">
      <c r="A119" s="682" t="s">
        <v>5</v>
      </c>
      <c r="B119" s="682"/>
      <c r="C119" s="207"/>
      <c r="D119" s="192"/>
      <c r="E119" s="185"/>
    </row>
    <row r="120" spans="1:5" ht="45" hidden="1" customHeight="1" x14ac:dyDescent="0.25">
      <c r="A120" s="690" t="s">
        <v>335</v>
      </c>
      <c r="B120" s="692"/>
      <c r="C120" s="207"/>
      <c r="D120" s="192"/>
      <c r="E120" s="185"/>
    </row>
    <row r="121" spans="1:5" ht="45" hidden="1" customHeight="1" x14ac:dyDescent="0.25">
      <c r="A121" s="690" t="s">
        <v>338</v>
      </c>
      <c r="B121" s="692"/>
      <c r="C121" s="207"/>
      <c r="D121" s="192"/>
      <c r="E121" s="185"/>
    </row>
    <row r="122" spans="1:5" ht="45" hidden="1" customHeight="1" x14ac:dyDescent="0.25">
      <c r="A122" s="690" t="s">
        <v>339</v>
      </c>
      <c r="B122" s="692"/>
      <c r="C122" s="286"/>
      <c r="D122" s="192"/>
      <c r="E122" s="185"/>
    </row>
    <row r="123" spans="1:5" ht="45" hidden="1" customHeight="1" x14ac:dyDescent="0.25">
      <c r="A123" s="690" t="s">
        <v>334</v>
      </c>
      <c r="B123" s="692"/>
      <c r="C123" s="207"/>
      <c r="D123" s="192"/>
      <c r="E123" s="185"/>
    </row>
    <row r="124" spans="1:5" ht="45" hidden="1" customHeight="1" x14ac:dyDescent="0.25">
      <c r="A124" s="682" t="s">
        <v>275</v>
      </c>
      <c r="B124" s="682"/>
      <c r="C124" s="207"/>
      <c r="D124" s="192"/>
      <c r="E124" s="185"/>
    </row>
    <row r="125" spans="1:5" ht="45" hidden="1" customHeight="1" x14ac:dyDescent="0.25">
      <c r="A125" s="682" t="s">
        <v>38</v>
      </c>
      <c r="B125" s="682"/>
      <c r="C125" s="207"/>
      <c r="D125" s="192"/>
      <c r="E125" s="185"/>
    </row>
    <row r="126" spans="1:5" ht="45" hidden="1" customHeight="1" x14ac:dyDescent="0.25">
      <c r="A126" s="682" t="s">
        <v>0</v>
      </c>
      <c r="B126" s="682"/>
      <c r="C126" s="207"/>
      <c r="D126" s="192"/>
      <c r="E126" s="185"/>
    </row>
    <row r="127" spans="1:5" ht="45" hidden="1" customHeight="1" x14ac:dyDescent="0.25">
      <c r="A127" s="682" t="s">
        <v>0</v>
      </c>
      <c r="B127" s="682"/>
      <c r="C127" s="207"/>
      <c r="D127" s="192"/>
      <c r="E127" s="185"/>
    </row>
    <row r="128" spans="1:5" ht="45" hidden="1" customHeight="1" x14ac:dyDescent="0.25">
      <c r="A128" s="690" t="s">
        <v>381</v>
      </c>
      <c r="B128" s="692"/>
      <c r="C128" s="207"/>
      <c r="D128" s="192"/>
      <c r="E128" s="185"/>
    </row>
    <row r="129" spans="1:14" ht="45" hidden="1" customHeight="1" x14ac:dyDescent="0.25">
      <c r="A129" s="690" t="s">
        <v>382</v>
      </c>
      <c r="B129" s="692"/>
      <c r="C129" s="330"/>
      <c r="D129" s="192"/>
      <c r="E129" s="185"/>
    </row>
    <row r="130" spans="1:14" ht="45" hidden="1" customHeight="1" x14ac:dyDescent="0.25">
      <c r="A130" s="682" t="s">
        <v>300</v>
      </c>
      <c r="B130" s="682"/>
      <c r="C130" s="188"/>
      <c r="D130" s="192"/>
      <c r="E130" s="185"/>
    </row>
    <row r="131" spans="1:14" ht="45" hidden="1" customHeight="1" x14ac:dyDescent="0.25">
      <c r="A131" s="696" t="s">
        <v>277</v>
      </c>
      <c r="B131" s="696"/>
      <c r="C131" s="204"/>
      <c r="D131" s="192"/>
      <c r="E131" s="185"/>
    </row>
    <row r="132" spans="1:14" ht="45" hidden="1" customHeight="1" x14ac:dyDescent="0.25">
      <c r="A132" s="697" t="s">
        <v>21</v>
      </c>
      <c r="B132" s="697"/>
      <c r="C132" s="410"/>
      <c r="D132" s="192"/>
      <c r="E132" s="185"/>
    </row>
    <row r="133" spans="1:14" ht="12.6" customHeight="1" x14ac:dyDescent="0.25">
      <c r="A133" s="698" t="s">
        <v>332</v>
      </c>
      <c r="B133" s="698"/>
      <c r="C133" s="698"/>
      <c r="D133" s="698"/>
      <c r="E133" s="698"/>
      <c r="F133" s="698"/>
      <c r="G133" s="698"/>
      <c r="H133" s="698"/>
      <c r="I133" s="698"/>
      <c r="J133" s="698"/>
      <c r="K133" s="698"/>
      <c r="L133" s="698"/>
      <c r="M133" s="698"/>
      <c r="N133" s="698"/>
    </row>
    <row r="134" spans="1:14" ht="12.6" customHeight="1" x14ac:dyDescent="0.25">
      <c r="A134" s="698"/>
      <c r="B134" s="698"/>
      <c r="C134" s="698"/>
      <c r="D134" s="698"/>
      <c r="E134" s="698"/>
      <c r="F134" s="698"/>
      <c r="G134" s="698"/>
      <c r="H134" s="698"/>
      <c r="I134" s="698"/>
      <c r="J134" s="698"/>
      <c r="K134" s="698"/>
      <c r="L134" s="698"/>
      <c r="M134" s="698"/>
      <c r="N134" s="698"/>
    </row>
    <row r="135" spans="1:14" ht="18" customHeight="1" x14ac:dyDescent="0.25">
      <c r="A135" s="698"/>
      <c r="B135" s="698"/>
      <c r="C135" s="698"/>
      <c r="D135" s="698"/>
      <c r="E135" s="698"/>
      <c r="F135" s="698"/>
      <c r="G135" s="698"/>
      <c r="H135" s="698"/>
      <c r="I135" s="698"/>
      <c r="J135" s="698"/>
      <c r="K135" s="698"/>
      <c r="L135" s="698"/>
      <c r="M135" s="698"/>
      <c r="N135" s="698"/>
    </row>
    <row r="136" spans="1:14" ht="0.6" customHeight="1" x14ac:dyDescent="0.25">
      <c r="A136" s="698"/>
      <c r="B136" s="698"/>
      <c r="C136" s="698"/>
      <c r="D136" s="698"/>
      <c r="E136" s="698"/>
      <c r="F136" s="698"/>
      <c r="G136" s="698"/>
      <c r="H136" s="698"/>
      <c r="I136" s="698"/>
      <c r="J136" s="698"/>
      <c r="K136" s="698"/>
      <c r="L136" s="698"/>
      <c r="M136" s="698"/>
      <c r="N136" s="698"/>
    </row>
    <row r="137" spans="1:14" ht="0.6" customHeight="1" x14ac:dyDescent="0.25">
      <c r="A137" s="282"/>
      <c r="B137" s="282"/>
      <c r="C137" s="283"/>
      <c r="D137" s="192"/>
      <c r="E137" s="185"/>
    </row>
    <row r="138" spans="1:14" ht="0.6" customHeight="1" x14ac:dyDescent="0.25">
      <c r="A138" s="282"/>
      <c r="B138" s="282"/>
      <c r="C138" s="283"/>
      <c r="D138" s="192"/>
      <c r="E138" s="185"/>
      <c r="G138" s="695" t="s">
        <v>343</v>
      </c>
    </row>
    <row r="139" spans="1:14" ht="17.45" hidden="1" customHeight="1" x14ac:dyDescent="0.25">
      <c r="A139" s="282"/>
      <c r="B139" s="282"/>
      <c r="C139" s="283"/>
      <c r="D139" s="192"/>
      <c r="E139" s="185"/>
      <c r="G139" s="695"/>
    </row>
    <row r="140" spans="1:14" s="5" customFormat="1" ht="17.45" customHeight="1" x14ac:dyDescent="0.25">
      <c r="E140" s="659" t="s">
        <v>541</v>
      </c>
      <c r="F140" s="659" t="s">
        <v>20</v>
      </c>
      <c r="G140" s="661" t="s">
        <v>2</v>
      </c>
      <c r="H140" s="661" t="s">
        <v>3</v>
      </c>
      <c r="I140" s="659" t="s">
        <v>4</v>
      </c>
      <c r="J140" s="693" t="s">
        <v>17</v>
      </c>
      <c r="K140" s="672" t="s">
        <v>301</v>
      </c>
      <c r="L140" s="672" t="s">
        <v>302</v>
      </c>
      <c r="M140" s="694" t="s">
        <v>50</v>
      </c>
      <c r="N140" s="694" t="s">
        <v>51</v>
      </c>
    </row>
    <row r="141" spans="1:14" s="5" customFormat="1" ht="17.45" customHeight="1" x14ac:dyDescent="0.25">
      <c r="E141" s="659"/>
      <c r="F141" s="659"/>
      <c r="G141" s="661"/>
      <c r="H141" s="661"/>
      <c r="I141" s="659"/>
      <c r="J141" s="693"/>
      <c r="K141" s="672"/>
      <c r="L141" s="672"/>
      <c r="M141" s="694"/>
      <c r="N141" s="694"/>
    </row>
    <row r="142" spans="1:14" s="5" customFormat="1" ht="17.45" customHeight="1" x14ac:dyDescent="0.25">
      <c r="E142" s="659"/>
      <c r="F142" s="659"/>
      <c r="G142" s="661"/>
      <c r="H142" s="661"/>
      <c r="I142" s="659"/>
      <c r="J142" s="693"/>
      <c r="K142" s="672"/>
      <c r="L142" s="672"/>
      <c r="M142" s="694"/>
      <c r="N142" s="694"/>
    </row>
    <row r="143" spans="1:14" s="5" customFormat="1" ht="17.45" customHeight="1" x14ac:dyDescent="0.25">
      <c r="E143" s="659"/>
      <c r="F143" s="659"/>
      <c r="G143" s="661"/>
      <c r="H143" s="661"/>
      <c r="I143" s="659"/>
      <c r="J143" s="693"/>
      <c r="K143" s="672"/>
      <c r="L143" s="672"/>
      <c r="M143" s="694"/>
      <c r="N143" s="694"/>
    </row>
    <row r="144" spans="1:14" s="5" customFormat="1" ht="33" customHeight="1" x14ac:dyDescent="0.25">
      <c r="A144" s="682" t="s">
        <v>5</v>
      </c>
      <c r="B144" s="682"/>
      <c r="C144" s="682"/>
      <c r="D144" s="682"/>
      <c r="E144" s="301">
        <f>'JUSTIFICATION DES BASES TRAV'!D125</f>
        <v>4051.83</v>
      </c>
      <c r="F144" s="301">
        <f>'JUSTIFICATION DES BASES TRAV'!E125</f>
        <v>4051.83</v>
      </c>
      <c r="G144" s="244">
        <f>'JUSTIFICATION DES BASES TRAV'!F125</f>
        <v>4051.83</v>
      </c>
      <c r="H144" s="244">
        <f>'JUSTIFICATION DES BASES TRAV'!G125</f>
        <v>4051.83</v>
      </c>
      <c r="I144" s="301">
        <f>+E144</f>
        <v>4051.83</v>
      </c>
      <c r="J144" s="197">
        <f>'JUSTIFICATION DES BASES TRAV'!I125</f>
        <v>4051.83</v>
      </c>
      <c r="K144" s="189">
        <f>'JUSTIFICATION DES BASES TRAV'!J125</f>
        <v>4051.83</v>
      </c>
      <c r="L144" s="189">
        <f>'JUSTIFICATION DES BASES TRAV'!K125</f>
        <v>4051.83</v>
      </c>
      <c r="M144" s="245">
        <f>'JUSTIFICATION DES BASES TRAV'!L125</f>
        <v>4051.83</v>
      </c>
      <c r="N144" s="245">
        <f>'JUSTIFICATION DES BASES TRAV'!M125</f>
        <v>4051.83</v>
      </c>
    </row>
    <row r="145" spans="1:14" s="5" customFormat="1" ht="45" hidden="1" customHeight="1" x14ac:dyDescent="0.25">
      <c r="A145" s="682" t="s">
        <v>314</v>
      </c>
      <c r="B145" s="682"/>
      <c r="C145" s="682"/>
      <c r="D145" s="682"/>
      <c r="E145" s="301">
        <f>'JUSTIFICATION DES BASES TRAV'!D126</f>
        <v>0</v>
      </c>
      <c r="F145" s="301">
        <f>'JUSTIFICATION DES BASES TRAV'!E126</f>
        <v>0</v>
      </c>
      <c r="G145" s="244">
        <f>'JUSTIFICATION DES BASES TRAV'!F126</f>
        <v>0</v>
      </c>
      <c r="H145" s="244">
        <f>'JUSTIFICATION DES BASES TRAV'!G126</f>
        <v>0</v>
      </c>
      <c r="I145" s="299">
        <f>+E145</f>
        <v>0</v>
      </c>
      <c r="J145" s="197">
        <f>+E145</f>
        <v>0</v>
      </c>
      <c r="K145" s="189">
        <f>+E145</f>
        <v>0</v>
      </c>
      <c r="L145" s="189">
        <f t="shared" ref="L145" si="0">K145</f>
        <v>0</v>
      </c>
      <c r="M145" s="253"/>
      <c r="N145" s="253"/>
    </row>
    <row r="146" spans="1:14" s="5" customFormat="1" ht="45" hidden="1" customHeight="1" x14ac:dyDescent="0.25">
      <c r="A146" s="690" t="s">
        <v>338</v>
      </c>
      <c r="B146" s="691"/>
      <c r="C146" s="691"/>
      <c r="D146" s="692"/>
      <c r="E146" s="301">
        <f>'JUSTIFICATION DES BASES TRAV'!D127</f>
        <v>0</v>
      </c>
      <c r="F146" s="301">
        <f>'JUSTIFICATION DES BASES TRAV'!E127</f>
        <v>0</v>
      </c>
      <c r="G146" s="244">
        <f>'JUSTIFICATION DES BASES TRAV'!F127</f>
        <v>0</v>
      </c>
      <c r="H146" s="244">
        <f>'JUSTIFICATION DES BASES TRAV'!G127</f>
        <v>0</v>
      </c>
      <c r="I146" s="243">
        <f t="shared" ref="I146:L146" si="1">+G146</f>
        <v>0</v>
      </c>
      <c r="J146" s="243">
        <f t="shared" si="1"/>
        <v>0</v>
      </c>
      <c r="K146" s="243">
        <f t="shared" si="1"/>
        <v>0</v>
      </c>
      <c r="L146" s="243">
        <f t="shared" si="1"/>
        <v>0</v>
      </c>
      <c r="M146" s="253"/>
      <c r="N146" s="253"/>
    </row>
    <row r="147" spans="1:14" s="5" customFormat="1" ht="28.15" hidden="1" customHeight="1" x14ac:dyDescent="0.25">
      <c r="A147" s="690" t="s">
        <v>337</v>
      </c>
      <c r="B147" s="691"/>
      <c r="C147" s="691"/>
      <c r="D147" s="692"/>
      <c r="E147" s="301">
        <f>'JUSTIFICATION DES BASES TRAV'!D128</f>
        <v>0</v>
      </c>
      <c r="F147" s="301">
        <f>'JUSTIFICATION DES BASES TRAV'!E128</f>
        <v>0</v>
      </c>
      <c r="G147" s="244">
        <f>'JUSTIFICATION DES BASES TRAV'!F128</f>
        <v>0</v>
      </c>
      <c r="H147" s="244">
        <f>'JUSTIFICATION DES BASES TRAV'!G128</f>
        <v>0</v>
      </c>
      <c r="I147" s="243" t="e">
        <f>'[2]BP CORRECTION  '!N21</f>
        <v>#REF!</v>
      </c>
      <c r="J147" s="243" t="e">
        <f>'[2]BP CORRECTION  '!O21</f>
        <v>#REF!</v>
      </c>
      <c r="K147" s="243" t="e">
        <f>'[2]BP CORRECTION  '!P21</f>
        <v>#REF!</v>
      </c>
      <c r="L147" s="243" t="e">
        <f>'[2]BP CORRECTION  '!Q21</f>
        <v>#REF!</v>
      </c>
      <c r="M147" s="253"/>
      <c r="N147" s="253"/>
    </row>
    <row r="148" spans="1:14" s="5" customFormat="1" ht="28.15" hidden="1" customHeight="1" x14ac:dyDescent="0.25">
      <c r="A148" s="682" t="s">
        <v>334</v>
      </c>
      <c r="B148" s="682"/>
      <c r="C148" s="682"/>
      <c r="D148" s="682"/>
      <c r="G148" s="327"/>
      <c r="H148" s="327"/>
    </row>
    <row r="149" spans="1:14" s="5" customFormat="1" ht="28.15" customHeight="1" x14ac:dyDescent="0.25">
      <c r="A149" s="682" t="s">
        <v>275</v>
      </c>
      <c r="B149" s="682"/>
      <c r="C149" s="682"/>
      <c r="D149" s="682"/>
      <c r="E149" s="301">
        <f>'JUSTIFICATION DES BASES TRAV'!D129</f>
        <v>267.14999999999998</v>
      </c>
      <c r="F149" s="301">
        <f>'JUSTIFICATION DES BASES TRAV'!E129</f>
        <v>267.14999999999998</v>
      </c>
      <c r="G149" s="244">
        <f>'JUSTIFICATION DES BASES TRAV'!F129</f>
        <v>267.14999999999998</v>
      </c>
      <c r="H149" s="244">
        <f>'JUSTIFICATION DES BASES TRAV'!G129</f>
        <v>267.14999999999998</v>
      </c>
      <c r="I149" s="301">
        <f>+H149</f>
        <v>267.14999999999998</v>
      </c>
      <c r="J149" s="197">
        <f>+E149</f>
        <v>267.14999999999998</v>
      </c>
      <c r="K149" s="189"/>
      <c r="L149" s="189"/>
      <c r="M149" s="245">
        <f>+J149</f>
        <v>267.14999999999998</v>
      </c>
      <c r="N149" s="245">
        <f>+J149</f>
        <v>267.14999999999998</v>
      </c>
    </row>
    <row r="150" spans="1:14" s="5" customFormat="1" ht="28.15" hidden="1" customHeight="1" x14ac:dyDescent="0.25">
      <c r="A150" s="682" t="s">
        <v>38</v>
      </c>
      <c r="B150" s="682"/>
      <c r="C150" s="682"/>
      <c r="D150" s="682"/>
      <c r="E150" s="301">
        <f>'JUSTIFICATION DES BASES TRAV'!D130</f>
        <v>0</v>
      </c>
      <c r="F150" s="301">
        <f>'JUSTIFICATION DES BASES TRAV'!E130</f>
        <v>0</v>
      </c>
      <c r="G150" s="244">
        <f>'JUSTIFICATION DES BASES TRAV'!F130</f>
        <v>0</v>
      </c>
      <c r="H150" s="244">
        <f>'JUSTIFICATION DES BASES TRAV'!G130</f>
        <v>0</v>
      </c>
      <c r="I150" s="301">
        <f>H150</f>
        <v>0</v>
      </c>
      <c r="J150" s="197">
        <f>+E151</f>
        <v>0</v>
      </c>
      <c r="K150" s="189">
        <f>+C125</f>
        <v>0</v>
      </c>
      <c r="L150" s="189">
        <f t="shared" ref="L150:L162" si="2">K150</f>
        <v>0</v>
      </c>
      <c r="M150" s="193"/>
      <c r="N150" s="193"/>
    </row>
    <row r="151" spans="1:14" s="5" customFormat="1" ht="28.15" hidden="1" customHeight="1" x14ac:dyDescent="0.25">
      <c r="A151" s="682" t="s">
        <v>0</v>
      </c>
      <c r="B151" s="682"/>
      <c r="C151" s="682"/>
      <c r="D151" s="682"/>
      <c r="E151" s="301">
        <f>'JUSTIFICATION DES BASES TRAV'!D131</f>
        <v>0</v>
      </c>
      <c r="F151" s="301">
        <f>'JUSTIFICATION DES BASES TRAV'!E131</f>
        <v>0</v>
      </c>
      <c r="G151" s="244">
        <f>'JUSTIFICATION DES BASES TRAV'!F131</f>
        <v>0</v>
      </c>
      <c r="H151" s="244">
        <f>'JUSTIFICATION DES BASES TRAV'!G131</f>
        <v>0</v>
      </c>
      <c r="I151" s="301"/>
      <c r="J151" s="197">
        <f>+E152</f>
        <v>0</v>
      </c>
      <c r="K151" s="190"/>
      <c r="L151" s="189"/>
      <c r="M151" s="193"/>
      <c r="N151" s="193"/>
    </row>
    <row r="152" spans="1:14" s="5" customFormat="1" ht="28.15" hidden="1" customHeight="1" x14ac:dyDescent="0.25">
      <c r="A152" s="682" t="s">
        <v>383</v>
      </c>
      <c r="B152" s="682"/>
      <c r="C152" s="682"/>
      <c r="D152" s="682"/>
      <c r="E152" s="301">
        <f>'JUSTIFICATION DES BASES TRAV'!D132</f>
        <v>0</v>
      </c>
      <c r="F152" s="301">
        <f>'JUSTIFICATION DES BASES TRAV'!E132</f>
        <v>0</v>
      </c>
      <c r="G152" s="244">
        <f>'JUSTIFICATION DES BASES TRAV'!F132</f>
        <v>0</v>
      </c>
      <c r="H152" s="244">
        <f>'JUSTIFICATION DES BASES TRAV'!G132</f>
        <v>0</v>
      </c>
      <c r="I152" s="300"/>
      <c r="J152" s="197">
        <f>F153</f>
        <v>0</v>
      </c>
      <c r="K152" s="189">
        <f>+C127</f>
        <v>0</v>
      </c>
      <c r="L152" s="189">
        <f t="shared" si="2"/>
        <v>0</v>
      </c>
      <c r="M152" s="193"/>
      <c r="N152" s="193"/>
    </row>
    <row r="153" spans="1:14" s="5" customFormat="1" ht="28.15" hidden="1" customHeight="1" x14ac:dyDescent="0.25">
      <c r="A153" s="682" t="s">
        <v>324</v>
      </c>
      <c r="B153" s="682"/>
      <c r="C153" s="682"/>
      <c r="D153" s="682"/>
      <c r="E153" s="301">
        <f>'JUSTIFICATION DES BASES TRAV'!D133</f>
        <v>0</v>
      </c>
      <c r="F153" s="301">
        <f>'JUSTIFICATION DES BASES TRAV'!E133</f>
        <v>0</v>
      </c>
      <c r="G153" s="244">
        <f>'JUSTIFICATION DES BASES TRAV'!F133</f>
        <v>0</v>
      </c>
      <c r="H153" s="244">
        <f>'JUSTIFICATION DES BASES TRAV'!G133</f>
        <v>0</v>
      </c>
      <c r="I153" s="301">
        <f>H153</f>
        <v>0</v>
      </c>
      <c r="J153" s="197">
        <f>+E154</f>
        <v>0</v>
      </c>
      <c r="K153" s="689"/>
      <c r="L153" s="689"/>
      <c r="M153" s="193"/>
      <c r="N153" s="193"/>
    </row>
    <row r="154" spans="1:14" s="5" customFormat="1" ht="28.15" hidden="1" customHeight="1" x14ac:dyDescent="0.25">
      <c r="A154" s="682" t="s">
        <v>317</v>
      </c>
      <c r="B154" s="682"/>
      <c r="C154" s="682"/>
      <c r="D154" s="682"/>
      <c r="E154" s="301">
        <f>'JUSTIFICATION DES BASES TRAV'!D134</f>
        <v>0</v>
      </c>
      <c r="F154" s="301">
        <f>'JUSTIFICATION DES BASES TRAV'!E134</f>
        <v>0</v>
      </c>
      <c r="G154" s="244">
        <f>'JUSTIFICATION DES BASES TRAV'!F134</f>
        <v>0</v>
      </c>
      <c r="H154" s="244">
        <f>'JUSTIFICATION DES BASES TRAV'!G134</f>
        <v>0</v>
      </c>
      <c r="I154" s="300"/>
      <c r="J154" s="197"/>
      <c r="K154" s="189"/>
      <c r="L154" s="189"/>
      <c r="M154" s="193"/>
      <c r="N154" s="193"/>
    </row>
    <row r="155" spans="1:14" s="5" customFormat="1" ht="28.15" hidden="1" customHeight="1" x14ac:dyDescent="0.25">
      <c r="A155" s="690" t="s">
        <v>379</v>
      </c>
      <c r="B155" s="691"/>
      <c r="C155" s="691"/>
      <c r="D155" s="692"/>
      <c r="E155" s="301">
        <f>'JUSTIFICATION DES BASES TRAV'!D135</f>
        <v>0</v>
      </c>
      <c r="F155" s="301">
        <f>'JUSTIFICATION DES BASES TRAV'!E135</f>
        <v>0</v>
      </c>
      <c r="G155" s="244">
        <f>'JUSTIFICATION DES BASES TRAV'!F135</f>
        <v>0</v>
      </c>
      <c r="H155" s="244">
        <f>'JUSTIFICATION DES BASES TRAV'!G135</f>
        <v>0</v>
      </c>
      <c r="I155" s="300"/>
      <c r="J155" s="197"/>
      <c r="K155" s="189"/>
      <c r="L155" s="189"/>
      <c r="M155" s="193"/>
      <c r="N155" s="193"/>
    </row>
    <row r="156" spans="1:14" s="5" customFormat="1" ht="28.15" hidden="1" customHeight="1" x14ac:dyDescent="0.25">
      <c r="A156" s="682" t="s">
        <v>300</v>
      </c>
      <c r="B156" s="682"/>
      <c r="C156" s="682"/>
      <c r="D156" s="682"/>
      <c r="E156" s="176"/>
      <c r="F156" s="176"/>
      <c r="G156" s="327"/>
      <c r="H156" s="327"/>
      <c r="I156" s="301"/>
      <c r="J156" s="402"/>
      <c r="K156" s="249"/>
      <c r="L156" s="249"/>
      <c r="M156" s="193"/>
      <c r="N156" s="193"/>
    </row>
    <row r="157" spans="1:14" s="5" customFormat="1" ht="21" customHeight="1" x14ac:dyDescent="0.25">
      <c r="A157" s="683" t="s">
        <v>311</v>
      </c>
      <c r="B157" s="684"/>
      <c r="C157" s="684"/>
      <c r="D157" s="685"/>
      <c r="E157" s="301">
        <f>+'JUSTIFICATION DES BASES TRAV'!E109</f>
        <v>4318.9799999999996</v>
      </c>
      <c r="F157" s="301">
        <f>+'JUSTIFICATION DES BASES TRAV'!F109</f>
        <v>4005</v>
      </c>
      <c r="G157" s="244">
        <f>'JUSTIFICATION DES BASES TRAV'!F136</f>
        <v>4318.9799999999996</v>
      </c>
      <c r="H157" s="244">
        <f>'JUSTIFICATION DES BASES TRAV'!G136</f>
        <v>4318.9799999999996</v>
      </c>
      <c r="I157" s="301">
        <f>'JUSTIFICATION DES BASES TRAV'!J109</f>
        <v>4318.9799999999996</v>
      </c>
      <c r="J157" s="197">
        <f>+E158</f>
        <v>4318.9799999999996</v>
      </c>
      <c r="K157" s="189">
        <f>'JUSTIFICATION DES BASES TRAV'!K109</f>
        <v>4051.83</v>
      </c>
      <c r="L157" s="189">
        <f>'JUSTIFICATION DES BASES TRAV'!L109</f>
        <v>4051.83</v>
      </c>
      <c r="M157" s="245">
        <f>SUM(M149:M156)</f>
        <v>267.14999999999998</v>
      </c>
      <c r="N157" s="245">
        <f>SUM(N149:N156)</f>
        <v>267.14999999999998</v>
      </c>
    </row>
    <row r="158" spans="1:14" s="5" customFormat="1" ht="24" hidden="1" customHeight="1" x14ac:dyDescent="0.25">
      <c r="A158" s="686" t="s">
        <v>13</v>
      </c>
      <c r="B158" s="686"/>
      <c r="C158" s="686"/>
      <c r="D158" s="686"/>
      <c r="E158" s="301">
        <f>+'JUSTIFICATION DES BASES TRAV'!E110</f>
        <v>4318.9799999999996</v>
      </c>
      <c r="F158" s="301">
        <f>+'JUSTIFICATION DES BASES TRAV'!F110</f>
        <v>4005</v>
      </c>
      <c r="G158" s="301">
        <f>'JUSTIFICATION DES BASES TRAV'!F137</f>
        <v>4318.9799999999996</v>
      </c>
      <c r="H158" s="301">
        <f>'JUSTIFICATION DES BASES TRAV'!G137</f>
        <v>4318.9799999999996</v>
      </c>
      <c r="I158" s="405">
        <f>I157</f>
        <v>4318.9799999999996</v>
      </c>
      <c r="J158" s="197">
        <f>+J157</f>
        <v>4318.9799999999996</v>
      </c>
      <c r="K158" s="199">
        <f>+K157</f>
        <v>4051.83</v>
      </c>
      <c r="L158" s="199">
        <f>K158</f>
        <v>4051.83</v>
      </c>
      <c r="M158" s="193"/>
      <c r="N158" s="193"/>
    </row>
    <row r="159" spans="1:14" s="5" customFormat="1" ht="31.9" customHeight="1" x14ac:dyDescent="0.25">
      <c r="A159" s="687" t="s">
        <v>560</v>
      </c>
      <c r="B159" s="687"/>
      <c r="C159" s="687"/>
      <c r="D159" s="687"/>
      <c r="E159" s="687"/>
      <c r="F159" s="687"/>
      <c r="G159" s="687"/>
      <c r="H159" s="687"/>
      <c r="I159" s="247"/>
      <c r="J159" s="197"/>
      <c r="K159" s="200"/>
      <c r="L159" s="199"/>
      <c r="M159" s="193"/>
      <c r="N159" s="193"/>
    </row>
    <row r="160" spans="1:14" s="5" customFormat="1" ht="24.6" customHeight="1" x14ac:dyDescent="0.25">
      <c r="A160" s="688" t="s">
        <v>325</v>
      </c>
      <c r="B160" s="688"/>
      <c r="C160" s="688"/>
      <c r="D160" s="688"/>
      <c r="E160" s="688"/>
      <c r="F160" s="688"/>
      <c r="G160" s="688"/>
      <c r="H160" s="688"/>
      <c r="I160" s="688"/>
      <c r="J160" s="198">
        <f>+J158*111.5%</f>
        <v>4815.6626999999999</v>
      </c>
      <c r="K160" s="200"/>
      <c r="L160" s="199"/>
      <c r="M160" s="193"/>
      <c r="N160" s="193"/>
    </row>
    <row r="161" spans="1:14" s="5" customFormat="1" ht="21" customHeight="1" x14ac:dyDescent="0.25">
      <c r="A161" s="677" t="s">
        <v>481</v>
      </c>
      <c r="B161" s="677"/>
      <c r="C161" s="677"/>
      <c r="D161" s="677"/>
      <c r="E161" s="677"/>
      <c r="F161" s="677"/>
      <c r="G161" s="677"/>
      <c r="H161" s="677"/>
      <c r="I161" s="677"/>
      <c r="J161" s="677"/>
      <c r="K161" s="201">
        <f>K158*0.9825</f>
        <v>3980.922975</v>
      </c>
      <c r="L161" s="199">
        <f t="shared" si="2"/>
        <v>3980.922975</v>
      </c>
      <c r="M161" s="193"/>
      <c r="N161" s="193"/>
    </row>
    <row r="162" spans="1:14" s="5" customFormat="1" ht="21" customHeight="1" x14ac:dyDescent="0.25">
      <c r="A162" s="677" t="s">
        <v>282</v>
      </c>
      <c r="B162" s="677"/>
      <c r="C162" s="677"/>
      <c r="D162" s="677"/>
      <c r="E162" s="677"/>
      <c r="F162" s="677"/>
      <c r="G162" s="677"/>
      <c r="H162" s="677"/>
      <c r="I162" s="677"/>
      <c r="J162" s="677"/>
      <c r="K162" s="202">
        <f>'[2]BP CORRECTION  '!J40</f>
        <v>50</v>
      </c>
      <c r="L162" s="199">
        <f t="shared" si="2"/>
        <v>50</v>
      </c>
      <c r="M162" s="193"/>
      <c r="N162" s="193"/>
    </row>
    <row r="163" spans="1:14" s="5" customFormat="1" ht="21" customHeight="1" x14ac:dyDescent="0.25">
      <c r="A163" s="677" t="s">
        <v>419</v>
      </c>
      <c r="B163" s="677"/>
      <c r="C163" s="677"/>
      <c r="D163" s="677"/>
      <c r="E163" s="677"/>
      <c r="F163" s="677"/>
      <c r="G163" s="677"/>
      <c r="H163" s="677"/>
      <c r="I163" s="677"/>
      <c r="J163" s="677"/>
      <c r="K163" s="203">
        <f>+'JUSTIFICATION DES BASES TRAV'!K115</f>
        <v>63.6</v>
      </c>
      <c r="L163" s="199">
        <f>K163</f>
        <v>63.6</v>
      </c>
      <c r="M163" s="250"/>
      <c r="N163" s="250"/>
    </row>
    <row r="164" spans="1:14" ht="34.15" customHeight="1" x14ac:dyDescent="0.25">
      <c r="A164" s="678" t="s">
        <v>481</v>
      </c>
      <c r="B164" s="678"/>
      <c r="C164" s="678"/>
      <c r="D164" s="678"/>
      <c r="E164" s="678"/>
      <c r="F164" s="678"/>
      <c r="G164" s="678"/>
      <c r="H164" s="678"/>
      <c r="I164" s="678"/>
      <c r="J164" s="678"/>
      <c r="K164" s="251"/>
      <c r="L164" s="251"/>
      <c r="M164" s="193">
        <f>+M157*0.9825</f>
        <v>262.474875</v>
      </c>
      <c r="N164" s="252">
        <f>+M164</f>
        <v>262.474875</v>
      </c>
    </row>
    <row r="165" spans="1:14" ht="33" customHeight="1" x14ac:dyDescent="0.25">
      <c r="A165" s="194"/>
      <c r="B165" s="194"/>
      <c r="C165" s="194"/>
      <c r="D165" s="194"/>
      <c r="E165" s="247">
        <f>+'JUSTIFICATION DES BASES TRAV'!E117</f>
        <v>4318.9799999999996</v>
      </c>
      <c r="F165" s="247">
        <f>+'JUSTIFICATION DES BASES TRAV'!F117</f>
        <v>4005</v>
      </c>
      <c r="G165" s="186">
        <f>+G158</f>
        <v>4318.9799999999996</v>
      </c>
      <c r="H165" s="186">
        <f>+H158</f>
        <v>4318.9799999999996</v>
      </c>
      <c r="I165" s="247">
        <f>I159</f>
        <v>0</v>
      </c>
      <c r="J165" s="254">
        <f>+J160</f>
        <v>4815.6626999999999</v>
      </c>
      <c r="K165" s="191">
        <f>K161+K162+K163</f>
        <v>4094.5229749999999</v>
      </c>
      <c r="L165" s="191">
        <f>K165</f>
        <v>4094.5229749999999</v>
      </c>
      <c r="M165" s="250">
        <f>M164</f>
        <v>262.474875</v>
      </c>
      <c r="N165" s="250">
        <f>N164</f>
        <v>262.474875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79" t="s">
        <v>309</v>
      </c>
      <c r="F176" s="679"/>
      <c r="H176" s="205" t="s">
        <v>309</v>
      </c>
      <c r="L176" s="206" t="s">
        <v>310</v>
      </c>
      <c r="M176" s="205" t="s">
        <v>309</v>
      </c>
    </row>
    <row r="177" spans="1:14" ht="14.45" customHeight="1" x14ac:dyDescent="0.25">
      <c r="D177" s="680" t="s">
        <v>173</v>
      </c>
      <c r="E177" s="680" t="s">
        <v>174</v>
      </c>
      <c r="F177" s="680" t="s">
        <v>175</v>
      </c>
      <c r="G177" s="681" t="s">
        <v>177</v>
      </c>
      <c r="H177" s="674" t="s">
        <v>9</v>
      </c>
      <c r="I177" s="672" t="s">
        <v>11</v>
      </c>
      <c r="J177" s="670" t="s">
        <v>15</v>
      </c>
      <c r="K177" s="675" t="s">
        <v>14</v>
      </c>
      <c r="L177" s="670" t="s">
        <v>16</v>
      </c>
      <c r="M177" s="670" t="s">
        <v>12</v>
      </c>
      <c r="N177" s="676"/>
    </row>
    <row r="178" spans="1:14" x14ac:dyDescent="0.25">
      <c r="D178" s="680"/>
      <c r="E178" s="680"/>
      <c r="F178" s="680"/>
      <c r="G178" s="681"/>
      <c r="H178" s="674"/>
      <c r="I178" s="672"/>
      <c r="J178" s="670"/>
      <c r="K178" s="675"/>
      <c r="L178" s="670"/>
      <c r="M178" s="670"/>
      <c r="N178" s="676"/>
    </row>
    <row r="179" spans="1:14" x14ac:dyDescent="0.25">
      <c r="D179" s="680"/>
      <c r="E179" s="680"/>
      <c r="F179" s="680"/>
      <c r="G179" s="681"/>
      <c r="H179" s="674"/>
      <c r="I179" s="672"/>
      <c r="J179" s="670"/>
      <c r="K179" s="675"/>
      <c r="L179" s="670"/>
      <c r="M179" s="670"/>
      <c r="N179" s="676"/>
    </row>
    <row r="180" spans="1:14" ht="26.45" customHeight="1" x14ac:dyDescent="0.25">
      <c r="D180" s="680"/>
      <c r="E180" s="680"/>
      <c r="F180" s="680"/>
      <c r="G180" s="681"/>
      <c r="H180" s="674"/>
      <c r="I180" s="672"/>
      <c r="J180" s="670"/>
      <c r="K180" s="675"/>
      <c r="L180" s="670"/>
      <c r="M180" s="670"/>
      <c r="N180" s="676"/>
    </row>
    <row r="181" spans="1:14" x14ac:dyDescent="0.25">
      <c r="A181" s="12" t="s">
        <v>5</v>
      </c>
      <c r="C181" s="207">
        <f>'JUSTIFICATION DES BASES TRAV'!C125</f>
        <v>4051.83</v>
      </c>
      <c r="D181" s="195">
        <f>'JUSTIFICATION DES BASES TRAV'!D125</f>
        <v>4051.83</v>
      </c>
      <c r="E181" s="195">
        <f>'JUSTIFICATION DES BASES TRAV'!E125</f>
        <v>4051.83</v>
      </c>
      <c r="F181" s="195">
        <f>'JUSTIFICATION DES BASES TRAV'!F125</f>
        <v>4051.83</v>
      </c>
      <c r="G181" s="187">
        <f>'JUSTIFICATION DES BASES TRAV'!G125</f>
        <v>4051.83</v>
      </c>
      <c r="H181" s="248"/>
      <c r="I181" s="187">
        <f>G181</f>
        <v>4051.83</v>
      </c>
      <c r="J181" s="195">
        <f>'JUSTIFICATION DES BASES TRAV'!J125</f>
        <v>4051.83</v>
      </c>
      <c r="K181" s="238">
        <f>'JUSTIFICATION DES BASES TRAV'!K125</f>
        <v>4051.83</v>
      </c>
      <c r="L181" s="195">
        <f>'JUSTIFICATION DES BASES TRAV'!L125</f>
        <v>4051.83</v>
      </c>
      <c r="M181" s="195">
        <f>'JUSTIFICATION DES BASES TRAV'!M125</f>
        <v>4051.83</v>
      </c>
      <c r="N181" s="403"/>
    </row>
    <row r="182" spans="1:14" hidden="1" x14ac:dyDescent="0.25">
      <c r="A182" s="668" t="s">
        <v>314</v>
      </c>
      <c r="B182" s="669"/>
      <c r="C182" s="207">
        <f>'JUSTIFICATION DES BASES TRAV'!C126</f>
        <v>0</v>
      </c>
      <c r="D182" s="195">
        <f>'JUSTIFICATION DES BASES TRAV'!D126</f>
        <v>0</v>
      </c>
      <c r="E182" s="195">
        <f>'JUSTIFICATION DES BASES TRAV'!E126</f>
        <v>0</v>
      </c>
      <c r="F182" s="195">
        <f>'JUSTIFICATION DES BASES TRAV'!F126</f>
        <v>0</v>
      </c>
      <c r="G182" s="187">
        <f>'JUSTIFICATION DES BASES TRAV'!G126</f>
        <v>0</v>
      </c>
      <c r="H182" s="248"/>
      <c r="I182" s="187">
        <f t="shared" ref="I182:I192" si="3">G182</f>
        <v>0</v>
      </c>
      <c r="J182" s="195">
        <f>'JUSTIFICATION DES BASES TRAV'!J126</f>
        <v>0</v>
      </c>
      <c r="K182" s="238">
        <f>'JUSTIFICATION DES BASES TRAV'!K126</f>
        <v>0</v>
      </c>
      <c r="L182" s="195">
        <f>'JUSTIFICATION DES BASES TRAV'!L126</f>
        <v>0</v>
      </c>
      <c r="M182" s="195">
        <f>'JUSTIFICATION DES BASES TRAV'!M126</f>
        <v>0</v>
      </c>
      <c r="N182" s="404"/>
    </row>
    <row r="183" spans="1:14" hidden="1" x14ac:dyDescent="0.25">
      <c r="A183" s="668" t="s">
        <v>315</v>
      </c>
      <c r="B183" s="669"/>
      <c r="C183" s="207">
        <f>'JUSTIFICATION DES BASES TRAV'!C127</f>
        <v>0</v>
      </c>
      <c r="D183" s="195">
        <f>'JUSTIFICATION DES BASES TRAV'!D127</f>
        <v>0</v>
      </c>
      <c r="E183" s="195">
        <f>'JUSTIFICATION DES BASES TRAV'!E127</f>
        <v>0</v>
      </c>
      <c r="F183" s="195">
        <f>'JUSTIFICATION DES BASES TRAV'!F127</f>
        <v>0</v>
      </c>
      <c r="G183" s="187">
        <f>'JUSTIFICATION DES BASES TRAV'!G127</f>
        <v>0</v>
      </c>
      <c r="H183" s="248"/>
      <c r="I183" s="187">
        <f t="shared" si="3"/>
        <v>0</v>
      </c>
      <c r="J183" s="195">
        <f>'JUSTIFICATION DES BASES TRAV'!J127</f>
        <v>0</v>
      </c>
      <c r="K183" s="238">
        <f>'JUSTIFICATION DES BASES TRAV'!K127</f>
        <v>0</v>
      </c>
      <c r="L183" s="195">
        <f>'JUSTIFICATION DES BASES TRAV'!L127</f>
        <v>0</v>
      </c>
      <c r="M183" s="195">
        <f>'JUSTIFICATION DES BASES TRAV'!M127</f>
        <v>0</v>
      </c>
      <c r="N183" s="404"/>
    </row>
    <row r="184" spans="1:14" hidden="1" x14ac:dyDescent="0.25">
      <c r="A184" s="668" t="s">
        <v>334</v>
      </c>
      <c r="B184" s="669"/>
      <c r="C184" s="207">
        <f>'JUSTIFICATION DES BASES TRAV'!C128</f>
        <v>0</v>
      </c>
      <c r="D184" s="195">
        <f>'JUSTIFICATION DES BASES TRAV'!D128</f>
        <v>0</v>
      </c>
      <c r="E184" s="195">
        <f>'JUSTIFICATION DES BASES TRAV'!E128</f>
        <v>0</v>
      </c>
      <c r="F184" s="195">
        <f>'JUSTIFICATION DES BASES TRAV'!F128</f>
        <v>0</v>
      </c>
      <c r="G184" s="187">
        <f>'JUSTIFICATION DES BASES TRAV'!G128</f>
        <v>0</v>
      </c>
      <c r="H184" s="186"/>
      <c r="I184" s="187">
        <f t="shared" si="3"/>
        <v>0</v>
      </c>
      <c r="J184" s="195">
        <f>'JUSTIFICATION DES BASES TRAV'!J128</f>
        <v>0</v>
      </c>
      <c r="K184" s="238">
        <f>'JUSTIFICATION DES BASES TRAV'!K128</f>
        <v>0</v>
      </c>
      <c r="L184" s="195">
        <f>'JUSTIFICATION DES BASES TRAV'!L128</f>
        <v>0</v>
      </c>
      <c r="M184" s="195">
        <f>'JUSTIFICATION DES BASES TRAV'!M128</f>
        <v>0</v>
      </c>
      <c r="N184" s="404"/>
    </row>
    <row r="185" spans="1:14" x14ac:dyDescent="0.25">
      <c r="A185" s="12" t="s">
        <v>43</v>
      </c>
      <c r="C185" s="207">
        <f>'JUSTIFICATION DES BASES TRAV'!C129</f>
        <v>267.14999999999998</v>
      </c>
      <c r="D185" s="195">
        <f>'JUSTIFICATION DES BASES TRAV'!D129</f>
        <v>267.14999999999998</v>
      </c>
      <c r="E185" s="195">
        <f>'JUSTIFICATION DES BASES TRAV'!E129</f>
        <v>267.14999999999998</v>
      </c>
      <c r="F185" s="195">
        <f>'JUSTIFICATION DES BASES TRAV'!F129</f>
        <v>267.14999999999998</v>
      </c>
      <c r="G185" s="187">
        <f>'JUSTIFICATION DES BASES TRAV'!G129</f>
        <v>267.14999999999998</v>
      </c>
      <c r="H185" s="248"/>
      <c r="I185" s="187">
        <f t="shared" si="3"/>
        <v>267.14999999999998</v>
      </c>
      <c r="J185" s="195">
        <f>'JUSTIFICATION DES BASES TRAV'!J129</f>
        <v>267.14999999999998</v>
      </c>
      <c r="K185" s="238">
        <f>'JUSTIFICATION DES BASES TRAV'!K129</f>
        <v>267.14999999999998</v>
      </c>
      <c r="L185" s="195">
        <f>'JUSTIFICATION DES BASES TRAV'!L129</f>
        <v>267.14999999999998</v>
      </c>
      <c r="M185" s="195">
        <f>'JUSTIFICATION DES BASES TRAV'!M129</f>
        <v>267.14999999999998</v>
      </c>
      <c r="N185" s="404"/>
    </row>
    <row r="186" spans="1:14" hidden="1" x14ac:dyDescent="0.25">
      <c r="A186" s="12" t="s">
        <v>171</v>
      </c>
      <c r="C186" s="207">
        <f>'JUSTIFICATION DES BASES TRAV'!C130</f>
        <v>0</v>
      </c>
      <c r="D186" s="195">
        <f>'JUSTIFICATION DES BASES TRAV'!D130</f>
        <v>0</v>
      </c>
      <c r="E186" s="195">
        <f>'JUSTIFICATION DES BASES TRAV'!E130</f>
        <v>0</v>
      </c>
      <c r="F186" s="195">
        <f>'JUSTIFICATION DES BASES TRAV'!F130</f>
        <v>0</v>
      </c>
      <c r="G186" s="187">
        <f>'JUSTIFICATION DES BASES TRAV'!G130</f>
        <v>0</v>
      </c>
      <c r="H186" s="248"/>
      <c r="I186" s="187">
        <f t="shared" si="3"/>
        <v>0</v>
      </c>
      <c r="J186" s="195">
        <f>'JUSTIFICATION DES BASES TRAV'!J130</f>
        <v>0</v>
      </c>
      <c r="K186" s="238">
        <f>'JUSTIFICATION DES BASES TRAV'!K130</f>
        <v>0</v>
      </c>
      <c r="L186" s="195">
        <f>'JUSTIFICATION DES BASES TRAV'!L130</f>
        <v>0</v>
      </c>
      <c r="M186" s="195">
        <f>'JUSTIFICATION DES BASES TRAV'!M130</f>
        <v>0</v>
      </c>
      <c r="N186" s="404"/>
    </row>
    <row r="187" spans="1:14" hidden="1" x14ac:dyDescent="0.25">
      <c r="A187" s="12" t="s">
        <v>0</v>
      </c>
      <c r="C187" s="207">
        <f>'JUSTIFICATION DES BASES TRAV'!C131</f>
        <v>0</v>
      </c>
      <c r="D187" s="195">
        <f>'JUSTIFICATION DES BASES TRAV'!D131</f>
        <v>0</v>
      </c>
      <c r="E187" s="195">
        <f>'JUSTIFICATION DES BASES TRAV'!E131</f>
        <v>0</v>
      </c>
      <c r="F187" s="195">
        <f>'JUSTIFICATION DES BASES TRAV'!F131</f>
        <v>0</v>
      </c>
      <c r="G187" s="187">
        <f>'JUSTIFICATION DES BASES TRAV'!G131</f>
        <v>0</v>
      </c>
      <c r="H187" s="248"/>
      <c r="I187" s="187">
        <f t="shared" si="3"/>
        <v>0</v>
      </c>
      <c r="J187" s="195">
        <f>'JUSTIFICATION DES BASES TRAV'!J131</f>
        <v>0</v>
      </c>
      <c r="K187" s="238">
        <f>'JUSTIFICATION DES BASES TRAV'!K131</f>
        <v>0</v>
      </c>
      <c r="L187" s="195">
        <f>'JUSTIFICATION DES BASES TRAV'!L131</f>
        <v>0</v>
      </c>
      <c r="M187" s="195">
        <f>'JUSTIFICATION DES BASES TRAV'!M131</f>
        <v>0</v>
      </c>
      <c r="N187" s="404"/>
    </row>
    <row r="188" spans="1:14" hidden="1" x14ac:dyDescent="0.25">
      <c r="A188" s="12" t="s">
        <v>384</v>
      </c>
      <c r="C188" s="207">
        <f>'JUSTIFICATION DES BASES TRAV'!C132</f>
        <v>0</v>
      </c>
      <c r="D188" s="195">
        <f>'JUSTIFICATION DES BASES TRAV'!D132</f>
        <v>0</v>
      </c>
      <c r="E188" s="195">
        <f>'JUSTIFICATION DES BASES TRAV'!E132</f>
        <v>0</v>
      </c>
      <c r="F188" s="195">
        <f>'JUSTIFICATION DES BASES TRAV'!F132</f>
        <v>0</v>
      </c>
      <c r="G188" s="187">
        <f>'JUSTIFICATION DES BASES TRAV'!G132</f>
        <v>0</v>
      </c>
      <c r="H188" s="248"/>
      <c r="I188" s="187">
        <f t="shared" si="3"/>
        <v>0</v>
      </c>
      <c r="J188" s="195">
        <f>'JUSTIFICATION DES BASES TRAV'!J132</f>
        <v>0</v>
      </c>
      <c r="K188" s="238">
        <f>'JUSTIFICATION DES BASES TRAV'!K132</f>
        <v>0</v>
      </c>
      <c r="L188" s="195">
        <f>'JUSTIFICATION DES BASES TRAV'!L132</f>
        <v>0</v>
      </c>
      <c r="M188" s="195">
        <f>'JUSTIFICATION DES BASES TRAV'!M132</f>
        <v>0</v>
      </c>
      <c r="N188" s="404"/>
    </row>
    <row r="189" spans="1:14" hidden="1" x14ac:dyDescent="0.25">
      <c r="A189" s="12" t="s">
        <v>318</v>
      </c>
      <c r="C189" s="207">
        <f>'JUSTIFICATION DES BASES TRAV'!C133</f>
        <v>0</v>
      </c>
      <c r="D189" s="195">
        <f>'JUSTIFICATION DES BASES TRAV'!D133</f>
        <v>0</v>
      </c>
      <c r="E189" s="195">
        <f>'JUSTIFICATION DES BASES TRAV'!E133</f>
        <v>0</v>
      </c>
      <c r="F189" s="195">
        <f>'JUSTIFICATION DES BASES TRAV'!F133</f>
        <v>0</v>
      </c>
      <c r="G189" s="187">
        <f>'JUSTIFICATION DES BASES TRAV'!G133</f>
        <v>0</v>
      </c>
      <c r="H189" s="248"/>
      <c r="I189" s="187">
        <f t="shared" si="3"/>
        <v>0</v>
      </c>
      <c r="J189" s="195">
        <f>'JUSTIFICATION DES BASES TRAV'!J133</f>
        <v>0</v>
      </c>
      <c r="K189" s="238">
        <f>'JUSTIFICATION DES BASES TRAV'!K133</f>
        <v>0</v>
      </c>
      <c r="L189" s="195">
        <f>'JUSTIFICATION DES BASES TRAV'!L133</f>
        <v>0</v>
      </c>
      <c r="M189" s="195">
        <f>'JUSTIFICATION DES BASES TRAV'!M133</f>
        <v>0</v>
      </c>
      <c r="N189" s="404"/>
    </row>
    <row r="190" spans="1:14" hidden="1" x14ac:dyDescent="0.25">
      <c r="A190" s="12" t="s">
        <v>328</v>
      </c>
      <c r="C190" s="207">
        <f>'JUSTIFICATION DES BASES TRAV'!C134</f>
        <v>0</v>
      </c>
      <c r="D190" s="195">
        <f>'JUSTIFICATION DES BASES TRAV'!D134</f>
        <v>0</v>
      </c>
      <c r="E190" s="195">
        <f>'JUSTIFICATION DES BASES TRAV'!E134</f>
        <v>0</v>
      </c>
      <c r="F190" s="195">
        <f>'JUSTIFICATION DES BASES TRAV'!F134</f>
        <v>0</v>
      </c>
      <c r="G190" s="187">
        <f>'JUSTIFICATION DES BASES TRAV'!G134</f>
        <v>0</v>
      </c>
      <c r="H190" s="248"/>
      <c r="I190" s="187">
        <f t="shared" si="3"/>
        <v>0</v>
      </c>
      <c r="J190" s="195">
        <f>'JUSTIFICATION DES BASES TRAV'!J134</f>
        <v>0</v>
      </c>
      <c r="K190" s="238">
        <f>'JUSTIFICATION DES BASES TRAV'!K134</f>
        <v>0</v>
      </c>
      <c r="L190" s="195">
        <f>'JUSTIFICATION DES BASES TRAV'!L134</f>
        <v>0</v>
      </c>
      <c r="M190" s="195">
        <f>'JUSTIFICATION DES BASES TRAV'!M134</f>
        <v>0</v>
      </c>
      <c r="N190" s="404"/>
    </row>
    <row r="191" spans="1:14" hidden="1" x14ac:dyDescent="0.25">
      <c r="A191" s="12" t="s">
        <v>300</v>
      </c>
      <c r="C191" s="207">
        <f>'JUSTIFICATION DES BASES TRAV'!C135</f>
        <v>0</v>
      </c>
      <c r="D191" s="195">
        <f>'JUSTIFICATION DES BASES TRAV'!D135</f>
        <v>0</v>
      </c>
      <c r="E191" s="195">
        <f>'JUSTIFICATION DES BASES TRAV'!E135</f>
        <v>0</v>
      </c>
      <c r="F191" s="195">
        <f>'JUSTIFICATION DES BASES TRAV'!F135</f>
        <v>0</v>
      </c>
      <c r="G191" s="187">
        <f>'JUSTIFICATION DES BASES TRAV'!G135</f>
        <v>0</v>
      </c>
      <c r="H191" s="248"/>
      <c r="I191" s="187">
        <f t="shared" si="3"/>
        <v>0</v>
      </c>
      <c r="J191" s="195">
        <f>'JUSTIFICATION DES BASES TRAV'!J135</f>
        <v>0</v>
      </c>
      <c r="K191" s="238">
        <f>'JUSTIFICATION DES BASES TRAV'!K135</f>
        <v>0</v>
      </c>
      <c r="L191" s="195">
        <f>'JUSTIFICATION DES BASES TRAV'!L135</f>
        <v>0</v>
      </c>
      <c r="M191" s="195">
        <f>'JUSTIFICATION DES BASES TRAV'!M135</f>
        <v>0</v>
      </c>
      <c r="N191" s="404"/>
    </row>
    <row r="192" spans="1:14" ht="13.9" customHeight="1" x14ac:dyDescent="0.25">
      <c r="A192" s="12" t="s">
        <v>172</v>
      </c>
      <c r="C192" s="207">
        <f>'JUSTIFICATION DES BASES TRAV'!C136</f>
        <v>4318.9799999999996</v>
      </c>
      <c r="D192" s="195">
        <f>'JUSTIFICATION DES BASES TRAV'!D136</f>
        <v>4318.9799999999996</v>
      </c>
      <c r="E192" s="195">
        <f>'JUSTIFICATION DES BASES TRAV'!E136</f>
        <v>4318.9799999999996</v>
      </c>
      <c r="F192" s="195">
        <f>'JUSTIFICATION DES BASES TRAV'!F136</f>
        <v>4318.9799999999996</v>
      </c>
      <c r="G192" s="187">
        <f>'JUSTIFICATION DES BASES TRAV'!G136</f>
        <v>4318.9799999999996</v>
      </c>
      <c r="H192" s="248"/>
      <c r="I192" s="187">
        <f t="shared" si="3"/>
        <v>4318.9799999999996</v>
      </c>
      <c r="J192" s="195">
        <f>'JUSTIFICATION DES BASES TRAV'!J136</f>
        <v>4318.9799999999996</v>
      </c>
      <c r="K192" s="247">
        <f>'JUSTIFICATION DES BASES TRAV'!K136</f>
        <v>4318.9799999999996</v>
      </c>
      <c r="L192" s="195">
        <f>'JUSTIFICATION DES BASES TRAV'!L136</f>
        <v>4318.9799999999996</v>
      </c>
      <c r="M192" s="195">
        <f>'JUSTIFICATION DES BASES TRAV'!M136</f>
        <v>4318.9799999999996</v>
      </c>
      <c r="N192" s="404"/>
    </row>
    <row r="193" spans="1:14" hidden="1" x14ac:dyDescent="0.25">
      <c r="A193" s="12" t="s">
        <v>13</v>
      </c>
      <c r="C193" s="207">
        <f>'JUSTIFICATION DES BASES TRAV'!C137</f>
        <v>4318.9799999999996</v>
      </c>
      <c r="D193" s="195">
        <f>'JUSTIFICATION DES BASES TRAV'!D137</f>
        <v>4318.9799999999996</v>
      </c>
      <c r="E193" s="195">
        <f>'JUSTIFICATION DES BASES TRAV'!E137</f>
        <v>4318.9799999999996</v>
      </c>
      <c r="F193" s="195">
        <f>'JUSTIFICATION DES BASES TRAV'!F137</f>
        <v>4318.9799999999996</v>
      </c>
      <c r="G193" s="187">
        <f>'JUSTIFICATION DES BASES TRAV'!G137</f>
        <v>4318.9799999999996</v>
      </c>
      <c r="H193" s="186"/>
      <c r="I193" s="187">
        <f>G193</f>
        <v>4318.9799999999996</v>
      </c>
      <c r="J193" s="195">
        <f>'JUSTIFICATION DES BASES TRAV'!J137</f>
        <v>4318.9799999999996</v>
      </c>
      <c r="K193" s="195">
        <f>'JUSTIFICATION DES BASES TRAV'!K137</f>
        <v>4318.9799999999996</v>
      </c>
      <c r="L193" s="195">
        <f>'JUSTIFICATION DES BASES TRAV'!L137</f>
        <v>4318.9799999999996</v>
      </c>
      <c r="M193" s="195">
        <f>'JUSTIFICATION DES BASES TRAV'!M137</f>
        <v>4318.9799999999996</v>
      </c>
      <c r="N193" s="404"/>
    </row>
    <row r="194" spans="1:14" x14ac:dyDescent="0.25">
      <c r="C194" s="1"/>
      <c r="D194" s="195">
        <f>'JUSTIFICATION DES BASES TRAV'!D138</f>
        <v>0</v>
      </c>
      <c r="E194" s="196"/>
      <c r="F194" s="196"/>
      <c r="G194" s="241"/>
      <c r="H194" s="248"/>
      <c r="I194" s="241"/>
      <c r="J194" s="196"/>
      <c r="K194" s="242"/>
      <c r="L194" s="196"/>
      <c r="M194" s="196"/>
      <c r="N194" s="404"/>
    </row>
    <row r="195" spans="1:14" ht="33" customHeight="1" x14ac:dyDescent="0.25">
      <c r="A195" s="670" t="s">
        <v>486</v>
      </c>
      <c r="B195" s="670"/>
      <c r="C195" s="670"/>
      <c r="D195" s="195">
        <f>'JUSTIFICATION DES BASES TRAV'!D139</f>
        <v>4815.66</v>
      </c>
      <c r="E195" s="195">
        <f t="shared" ref="E195:J195" si="4">ROUND(E193*111.5%,2)</f>
        <v>4815.66</v>
      </c>
      <c r="F195" s="195">
        <f t="shared" si="4"/>
        <v>4815.66</v>
      </c>
      <c r="G195" s="187"/>
      <c r="H195" s="186"/>
      <c r="I195" s="187"/>
      <c r="J195" s="195">
        <f t="shared" si="4"/>
        <v>4815.66</v>
      </c>
      <c r="K195" s="242"/>
      <c r="L195" s="196">
        <f>ROUND(111.5%*L193,2)</f>
        <v>4815.66</v>
      </c>
      <c r="M195" s="196">
        <f>ROUND(111.5%*M193,2)</f>
        <v>4815.66</v>
      </c>
      <c r="N195" s="367"/>
    </row>
    <row r="196" spans="1:14" ht="33" customHeight="1" x14ac:dyDescent="0.25">
      <c r="A196" s="671" t="s">
        <v>487</v>
      </c>
      <c r="B196" s="672"/>
      <c r="C196" s="672"/>
      <c r="D196" s="672"/>
      <c r="E196" s="672"/>
      <c r="F196" s="672"/>
      <c r="G196" s="187">
        <f>G193</f>
        <v>4318.9799999999996</v>
      </c>
      <c r="H196" s="248"/>
      <c r="I196" s="187">
        <f>G196</f>
        <v>4318.9799999999996</v>
      </c>
      <c r="J196" s="7"/>
      <c r="K196" s="242"/>
      <c r="L196" s="7"/>
      <c r="M196" s="7"/>
    </row>
    <row r="197" spans="1:14" ht="33" customHeight="1" x14ac:dyDescent="0.25">
      <c r="A197" s="673" t="s">
        <v>485</v>
      </c>
      <c r="B197" s="674"/>
      <c r="C197" s="674"/>
      <c r="D197" s="674"/>
      <c r="E197" s="674"/>
      <c r="F197" s="674"/>
      <c r="G197" s="674"/>
      <c r="H197" s="409">
        <f>'JUSTIFICATION DES BASES TRAV'!$H$141</f>
        <v>0</v>
      </c>
      <c r="I197" s="7"/>
      <c r="J197" s="7"/>
      <c r="K197" s="242"/>
      <c r="L197" s="7"/>
      <c r="M197" s="7"/>
    </row>
    <row r="198" spans="1:14" ht="33" customHeight="1" x14ac:dyDescent="0.25">
      <c r="A198" s="675" t="s">
        <v>488</v>
      </c>
      <c r="B198" s="675"/>
      <c r="C198" s="675"/>
      <c r="D198" s="242"/>
      <c r="E198" s="242"/>
      <c r="F198" s="242"/>
      <c r="G198" s="242"/>
      <c r="H198" s="242"/>
      <c r="I198" s="242"/>
      <c r="J198" s="242"/>
      <c r="K198" s="242">
        <f>ROUND(K193*120%,2)</f>
        <v>5182.78</v>
      </c>
      <c r="L198" s="7"/>
      <c r="M198" s="7"/>
    </row>
    <row r="200" spans="1:14" ht="18.75" x14ac:dyDescent="0.3">
      <c r="A200" s="182"/>
      <c r="B200" s="6"/>
      <c r="C200" s="6"/>
    </row>
    <row r="201" spans="1:14" s="15" customFormat="1" ht="18.75" x14ac:dyDescent="0.3">
      <c r="A201" s="182" t="s">
        <v>329</v>
      </c>
      <c r="B201" s="6" t="s">
        <v>330</v>
      </c>
      <c r="C201" s="6"/>
      <c r="D201" s="6"/>
      <c r="E201" s="6"/>
      <c r="F201" s="6"/>
    </row>
    <row r="202" spans="1:14" s="15" customFormat="1" ht="18.75" x14ac:dyDescent="0.3">
      <c r="A202" s="15" t="s">
        <v>385</v>
      </c>
      <c r="B202" s="6" t="s">
        <v>464</v>
      </c>
      <c r="C202" s="6"/>
      <c r="D202" s="6"/>
      <c r="E202" s="6"/>
      <c r="F202" s="6"/>
    </row>
    <row r="203" spans="1:14" s="15" customFormat="1" ht="18.75" x14ac:dyDescent="0.3">
      <c r="B203" s="6"/>
      <c r="C203" s="6"/>
      <c r="D203" s="6"/>
      <c r="E203" s="6"/>
      <c r="F203" s="6"/>
    </row>
    <row r="204" spans="1:14" s="15" customFormat="1" ht="18.75" x14ac:dyDescent="0.3">
      <c r="B204" s="6"/>
      <c r="C204" s="6"/>
      <c r="D204" s="6"/>
      <c r="E204" s="6"/>
      <c r="F204" s="6"/>
    </row>
    <row r="205" spans="1:14" s="15" customFormat="1" ht="18.75" x14ac:dyDescent="0.3">
      <c r="B205" s="6"/>
      <c r="C205" s="6"/>
      <c r="D205" s="6"/>
      <c r="E205" s="6"/>
      <c r="F205" s="6"/>
    </row>
    <row r="206" spans="1:14" s="15" customFormat="1" ht="18.75" x14ac:dyDescent="0.3">
      <c r="B206" s="6"/>
      <c r="C206" s="6"/>
      <c r="D206" s="6"/>
      <c r="E206" s="6"/>
      <c r="F206" s="6"/>
    </row>
    <row r="207" spans="1:14" s="15" customFormat="1" ht="18.75" x14ac:dyDescent="0.3">
      <c r="B207" s="6"/>
      <c r="C207" s="6"/>
      <c r="D207" s="6"/>
      <c r="E207" s="6"/>
      <c r="F207" s="6"/>
    </row>
    <row r="208" spans="1:14" s="15" customFormat="1" ht="18.75" x14ac:dyDescent="0.3">
      <c r="B208" s="6"/>
      <c r="C208" s="6"/>
      <c r="D208" s="6"/>
      <c r="E208" s="6"/>
      <c r="F208" s="6"/>
    </row>
    <row r="209" spans="1:15" s="15" customFormat="1" ht="18.75" x14ac:dyDescent="0.3">
      <c r="B209" s="6"/>
      <c r="C209" s="6"/>
      <c r="D209" s="6"/>
      <c r="E209" s="6"/>
      <c r="F209" s="6"/>
    </row>
    <row r="210" spans="1:15" s="15" customFormat="1" ht="16.899999999999999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x14ac:dyDescent="0.25">
      <c r="C212" s="5"/>
      <c r="F212" s="5"/>
    </row>
    <row r="213" spans="1:15" hidden="1" x14ac:dyDescent="0.25"/>
    <row r="214" spans="1:15" hidden="1" x14ac:dyDescent="0.25">
      <c r="D214" s="278"/>
      <c r="J214" s="5"/>
    </row>
    <row r="215" spans="1:15" hidden="1" x14ac:dyDescent="0.25">
      <c r="C215" s="11"/>
      <c r="D215" s="278"/>
    </row>
    <row r="216" spans="1:15" ht="25.9" hidden="1" customHeight="1" x14ac:dyDescent="0.25">
      <c r="A216" s="657" t="s">
        <v>333</v>
      </c>
      <c r="B216" s="657"/>
      <c r="C216" s="657"/>
      <c r="D216" s="659" t="s">
        <v>42</v>
      </c>
      <c r="E216" s="661" t="s">
        <v>40</v>
      </c>
      <c r="F216" s="661" t="s">
        <v>41</v>
      </c>
      <c r="G216" s="663" t="s">
        <v>18</v>
      </c>
    </row>
    <row r="217" spans="1:15" ht="25.9" hidden="1" customHeight="1" x14ac:dyDescent="0.25">
      <c r="A217" s="657"/>
      <c r="B217" s="657"/>
      <c r="C217" s="657"/>
      <c r="D217" s="659"/>
      <c r="E217" s="661"/>
      <c r="F217" s="661"/>
      <c r="G217" s="663"/>
    </row>
    <row r="218" spans="1:15" ht="25.9" hidden="1" customHeight="1" x14ac:dyDescent="0.25">
      <c r="A218" s="657"/>
      <c r="B218" s="657"/>
      <c r="C218" s="657"/>
      <c r="D218" s="659"/>
      <c r="E218" s="661"/>
      <c r="F218" s="661"/>
      <c r="G218" s="663"/>
    </row>
    <row r="219" spans="1:15" ht="25.9" hidden="1" customHeight="1" x14ac:dyDescent="0.25">
      <c r="A219" s="665"/>
      <c r="B219" s="665"/>
      <c r="C219" s="665"/>
      <c r="D219" s="660"/>
      <c r="E219" s="662"/>
      <c r="F219" s="662"/>
      <c r="G219" s="664"/>
    </row>
    <row r="220" spans="1:15" ht="25.9" hidden="1" customHeight="1" x14ac:dyDescent="0.25">
      <c r="A220" s="649" t="s">
        <v>5</v>
      </c>
      <c r="B220" s="649"/>
      <c r="C220" s="207">
        <f>C181</f>
        <v>4051.83</v>
      </c>
      <c r="D220" s="285">
        <f>C220</f>
        <v>4051.83</v>
      </c>
      <c r="E220" s="285">
        <f>D220</f>
        <v>4051.83</v>
      </c>
      <c r="F220" s="285">
        <f>E220</f>
        <v>4051.83</v>
      </c>
      <c r="G220" s="285">
        <f>F220</f>
        <v>4051.83</v>
      </c>
    </row>
    <row r="221" spans="1:15" ht="25.9" hidden="1" customHeight="1" x14ac:dyDescent="0.25">
      <c r="A221" s="649" t="s">
        <v>314</v>
      </c>
      <c r="B221" s="649"/>
      <c r="C221" s="207"/>
      <c r="D221" s="285">
        <f t="shared" ref="D221:G230" si="5">C221</f>
        <v>0</v>
      </c>
      <c r="E221" s="285">
        <f t="shared" si="5"/>
        <v>0</v>
      </c>
      <c r="F221" s="285">
        <f t="shared" si="5"/>
        <v>0</v>
      </c>
      <c r="G221" s="285">
        <f t="shared" si="5"/>
        <v>0</v>
      </c>
    </row>
    <row r="222" spans="1:15" ht="25.9" hidden="1" customHeight="1" x14ac:dyDescent="0.25">
      <c r="A222" s="653" t="s">
        <v>340</v>
      </c>
      <c r="B222" s="654"/>
      <c r="C222" s="207">
        <f>'BP CORRECTION  '!J82</f>
        <v>0</v>
      </c>
      <c r="D222" s="285">
        <f>C222</f>
        <v>0</v>
      </c>
      <c r="E222" s="290"/>
      <c r="F222" s="290"/>
      <c r="G222" s="290"/>
      <c r="H222" s="666" t="s">
        <v>341</v>
      </c>
      <c r="I222" s="667"/>
      <c r="J222" s="667"/>
      <c r="K222" s="667"/>
      <c r="L222" s="667"/>
      <c r="M222" s="667"/>
      <c r="N222" s="667"/>
      <c r="O222" s="667"/>
    </row>
    <row r="223" spans="1:15" ht="25.9" hidden="1" customHeight="1" x14ac:dyDescent="0.25">
      <c r="A223" s="649" t="s">
        <v>315</v>
      </c>
      <c r="B223" s="649"/>
      <c r="C223" s="207">
        <f>+C186</f>
        <v>0</v>
      </c>
      <c r="D223" s="285">
        <f t="shared" si="5"/>
        <v>0</v>
      </c>
      <c r="E223" s="285">
        <f t="shared" si="5"/>
        <v>0</v>
      </c>
      <c r="F223" s="285">
        <f t="shared" si="5"/>
        <v>0</v>
      </c>
      <c r="G223" s="285">
        <f t="shared" si="5"/>
        <v>0</v>
      </c>
    </row>
    <row r="224" spans="1:15" ht="25.9" hidden="1" customHeight="1" x14ac:dyDescent="0.25">
      <c r="A224" s="649" t="s">
        <v>43</v>
      </c>
      <c r="B224" s="649"/>
      <c r="C224" s="207">
        <f>C185</f>
        <v>267.14999999999998</v>
      </c>
      <c r="D224" s="285">
        <f t="shared" si="5"/>
        <v>267.14999999999998</v>
      </c>
      <c r="E224" s="285">
        <f t="shared" si="5"/>
        <v>267.14999999999998</v>
      </c>
      <c r="F224" s="285">
        <f t="shared" si="5"/>
        <v>267.14999999999998</v>
      </c>
      <c r="G224" s="285">
        <f t="shared" si="5"/>
        <v>267.14999999999998</v>
      </c>
    </row>
    <row r="225" spans="1:11" ht="25.9" hidden="1" customHeight="1" x14ac:dyDescent="0.25">
      <c r="A225" s="649" t="s">
        <v>171</v>
      </c>
      <c r="B225" s="649"/>
      <c r="C225" s="207">
        <f>+C189</f>
        <v>0</v>
      </c>
      <c r="D225" s="285">
        <f t="shared" si="5"/>
        <v>0</v>
      </c>
      <c r="E225" s="332"/>
      <c r="F225" s="335"/>
      <c r="G225" s="332"/>
    </row>
    <row r="226" spans="1:11" ht="25.9" hidden="1" customHeight="1" x14ac:dyDescent="0.25">
      <c r="A226" s="649" t="s">
        <v>0</v>
      </c>
      <c r="B226" s="649"/>
      <c r="C226" s="207">
        <f>+C190</f>
        <v>0</v>
      </c>
      <c r="D226" s="285">
        <f t="shared" si="5"/>
        <v>0</v>
      </c>
      <c r="E226" s="332"/>
      <c r="F226" s="335"/>
      <c r="G226" s="332"/>
    </row>
    <row r="227" spans="1:11" ht="25.9" hidden="1" customHeight="1" x14ac:dyDescent="0.25">
      <c r="A227" s="649" t="s">
        <v>0</v>
      </c>
      <c r="B227" s="649"/>
      <c r="C227" s="207">
        <f>+C191</f>
        <v>0</v>
      </c>
      <c r="D227" s="285">
        <f t="shared" si="5"/>
        <v>0</v>
      </c>
      <c r="E227" s="332"/>
      <c r="F227" s="335"/>
      <c r="G227" s="332"/>
    </row>
    <row r="228" spans="1:11" ht="25.9" hidden="1" customHeight="1" x14ac:dyDescent="0.25">
      <c r="A228" s="649" t="s">
        <v>318</v>
      </c>
      <c r="B228" s="649"/>
      <c r="C228" s="207"/>
      <c r="D228" s="285">
        <f t="shared" si="5"/>
        <v>0</v>
      </c>
      <c r="E228" s="332"/>
      <c r="F228" s="335"/>
      <c r="G228" s="335"/>
    </row>
    <row r="229" spans="1:11" ht="0.6" hidden="1" customHeight="1" x14ac:dyDescent="0.25">
      <c r="A229" s="18" t="s">
        <v>328</v>
      </c>
      <c r="B229" s="286"/>
      <c r="C229" s="207"/>
      <c r="D229" s="285"/>
      <c r="E229" s="285"/>
      <c r="F229" s="286"/>
      <c r="G229" s="286"/>
    </row>
    <row r="230" spans="1:11" ht="25.9" hidden="1" customHeight="1" x14ac:dyDescent="0.25">
      <c r="A230" s="649" t="s">
        <v>406</v>
      </c>
      <c r="B230" s="649"/>
      <c r="C230" s="207">
        <f>+C194</f>
        <v>0</v>
      </c>
      <c r="D230" s="285">
        <f t="shared" si="5"/>
        <v>0</v>
      </c>
      <c r="E230" s="332"/>
      <c r="F230" s="335"/>
      <c r="G230" s="335"/>
    </row>
    <row r="231" spans="1:11" ht="25.9" hidden="1" customHeight="1" x14ac:dyDescent="0.25">
      <c r="A231" s="649" t="s">
        <v>172</v>
      </c>
      <c r="B231" s="649"/>
      <c r="C231" s="207">
        <f>SUM(C220+C224)</f>
        <v>4318.9799999999996</v>
      </c>
      <c r="D231" s="285">
        <f>SUM(D220:D230)</f>
        <v>4318.9799999999996</v>
      </c>
      <c r="E231" s="287">
        <f>SUM(E220:E230)</f>
        <v>4318.9799999999996</v>
      </c>
      <c r="F231" s="287">
        <f>SUM(F220:F230)</f>
        <v>4318.9799999999996</v>
      </c>
      <c r="G231" s="302">
        <f>SUM(G220:G230)</f>
        <v>4318.9799999999996</v>
      </c>
    </row>
    <row r="232" spans="1:11" ht="25.9" hidden="1" customHeight="1" x14ac:dyDescent="0.25">
      <c r="A232" s="649" t="s">
        <v>13</v>
      </c>
      <c r="B232" s="649"/>
      <c r="C232" s="279">
        <f>C231*(1-'MASQUE DE SAISIE '!G75)</f>
        <v>4318.9799999999996</v>
      </c>
      <c r="D232" s="287">
        <f>D231*(1-'MASQUE DE SAISIE '!$G$16)</f>
        <v>4318.9799999999996</v>
      </c>
      <c r="E232" s="285"/>
      <c r="F232" s="285"/>
      <c r="G232" s="285"/>
    </row>
    <row r="233" spans="1:11" ht="31.5" hidden="1" customHeight="1" x14ac:dyDescent="0.25">
      <c r="G233" s="363">
        <f>G231</f>
        <v>4318.9799999999996</v>
      </c>
      <c r="H233" s="648" t="s">
        <v>565</v>
      </c>
      <c r="I233" s="648"/>
      <c r="J233" s="648"/>
      <c r="K233" s="648"/>
    </row>
    <row r="234" spans="1:11" hidden="1" x14ac:dyDescent="0.25">
      <c r="D234" s="278"/>
    </row>
    <row r="235" spans="1:11" ht="14.45" hidden="1" customHeight="1" x14ac:dyDescent="0.25">
      <c r="A235" s="657" t="s">
        <v>333</v>
      </c>
      <c r="B235" s="657"/>
      <c r="C235" s="657"/>
      <c r="D235" s="657"/>
      <c r="E235" s="657"/>
      <c r="F235" s="657"/>
      <c r="G235" s="657"/>
      <c r="H235" s="657"/>
      <c r="I235" s="657"/>
      <c r="J235" s="657"/>
    </row>
    <row r="236" spans="1:11" hidden="1" x14ac:dyDescent="0.25">
      <c r="A236" s="657"/>
      <c r="B236" s="657"/>
      <c r="C236" s="657"/>
      <c r="D236" s="657"/>
      <c r="E236" s="657"/>
      <c r="F236" s="657"/>
      <c r="G236" s="657"/>
      <c r="H236" s="657"/>
      <c r="I236" s="657"/>
      <c r="J236" s="657"/>
    </row>
    <row r="237" spans="1:11" hidden="1" x14ac:dyDescent="0.25">
      <c r="A237" s="657"/>
      <c r="B237" s="657"/>
      <c r="C237" s="657"/>
      <c r="D237" s="657"/>
      <c r="E237" s="657"/>
      <c r="F237" s="657"/>
      <c r="G237" s="657"/>
      <c r="H237" s="657"/>
      <c r="I237" s="657"/>
      <c r="J237" s="657"/>
    </row>
    <row r="238" spans="1:11" hidden="1" x14ac:dyDescent="0.25">
      <c r="A238" s="657"/>
      <c r="B238" s="657"/>
      <c r="C238" s="657"/>
      <c r="D238" s="657"/>
      <c r="E238" s="657"/>
      <c r="F238" s="657"/>
      <c r="G238" s="657"/>
      <c r="H238" s="657"/>
      <c r="I238" s="657"/>
      <c r="J238" s="657"/>
    </row>
    <row r="239" spans="1:11" hidden="1" x14ac:dyDescent="0.25"/>
    <row r="240" spans="1:11" hidden="1" x14ac:dyDescent="0.25">
      <c r="J240" s="658" t="s">
        <v>465</v>
      </c>
    </row>
    <row r="241" spans="1:15" hidden="1" x14ac:dyDescent="0.25">
      <c r="J241" s="658"/>
    </row>
    <row r="242" spans="1:15" hidden="1" x14ac:dyDescent="0.25">
      <c r="D242" s="659" t="s">
        <v>42</v>
      </c>
      <c r="E242" s="661" t="s">
        <v>40</v>
      </c>
      <c r="F242" s="661" t="s">
        <v>466</v>
      </c>
      <c r="G242" s="663" t="s">
        <v>18</v>
      </c>
      <c r="J242" s="658"/>
    </row>
    <row r="243" spans="1:15" hidden="1" x14ac:dyDescent="0.25">
      <c r="D243" s="659"/>
      <c r="E243" s="661"/>
      <c r="F243" s="661"/>
      <c r="G243" s="663"/>
      <c r="J243" s="658"/>
    </row>
    <row r="244" spans="1:15" hidden="1" x14ac:dyDescent="0.25">
      <c r="D244" s="659"/>
      <c r="E244" s="661"/>
      <c r="F244" s="661"/>
      <c r="G244" s="663"/>
    </row>
    <row r="245" spans="1:15" hidden="1" x14ac:dyDescent="0.25">
      <c r="D245" s="660"/>
      <c r="E245" s="662"/>
      <c r="F245" s="662"/>
      <c r="G245" s="664"/>
    </row>
    <row r="246" spans="1:15" ht="25.9" hidden="1" customHeight="1" x14ac:dyDescent="0.25">
      <c r="A246" s="649" t="s">
        <v>5</v>
      </c>
      <c r="B246" s="649"/>
      <c r="C246" s="207">
        <f>'JUSTIFICATION DES BASES TRAV'!C173</f>
        <v>4051.83</v>
      </c>
      <c r="D246" s="285">
        <f>'JUSTIFICATION DES BASES TRAV'!D173</f>
        <v>4051.83</v>
      </c>
      <c r="E246" s="285">
        <f>'JUSTIFICATION DES BASES TRAV'!E173</f>
        <v>4051.83</v>
      </c>
      <c r="F246" s="285">
        <f>E246</f>
        <v>4051.83</v>
      </c>
      <c r="G246" s="285">
        <f>F246</f>
        <v>4051.83</v>
      </c>
    </row>
    <row r="247" spans="1:15" ht="25.9" hidden="1" customHeight="1" x14ac:dyDescent="0.25">
      <c r="A247" s="649" t="s">
        <v>314</v>
      </c>
      <c r="B247" s="649"/>
      <c r="C247" s="207">
        <f>'JUSTIFICATION DES BASES TRAV'!C174</f>
        <v>0</v>
      </c>
      <c r="D247" s="285">
        <f>'JUSTIFICATION DES BASES TRAV'!D174</f>
        <v>0</v>
      </c>
      <c r="E247" s="285">
        <f>'JUSTIFICATION DES BASES TRAV'!E174</f>
        <v>0</v>
      </c>
      <c r="F247" s="285">
        <f t="shared" ref="F247:G250" si="6">E247</f>
        <v>0</v>
      </c>
      <c r="G247" s="285">
        <f t="shared" si="6"/>
        <v>0</v>
      </c>
    </row>
    <row r="248" spans="1:15" ht="25.9" hidden="1" customHeight="1" x14ac:dyDescent="0.25">
      <c r="A248" s="653" t="s">
        <v>340</v>
      </c>
      <c r="B248" s="654"/>
      <c r="C248" s="207">
        <f>'JUSTIFICATION DES BASES TRAV'!C175</f>
        <v>0</v>
      </c>
      <c r="D248" s="285">
        <f>'JUSTIFICATION DES BASES TRAV'!D175</f>
        <v>0</v>
      </c>
      <c r="E248" s="290"/>
      <c r="F248" s="290"/>
      <c r="G248" s="290"/>
      <c r="H248" s="655" t="s">
        <v>467</v>
      </c>
      <c r="I248" s="656"/>
      <c r="J248" s="656"/>
      <c r="K248" s="656"/>
      <c r="L248" s="656"/>
      <c r="M248" s="656"/>
      <c r="N248" s="656"/>
      <c r="O248" s="656"/>
    </row>
    <row r="249" spans="1:15" ht="25.9" hidden="1" customHeight="1" x14ac:dyDescent="0.25">
      <c r="A249" s="649" t="s">
        <v>315</v>
      </c>
      <c r="B249" s="649"/>
      <c r="C249" s="207">
        <f>'JUSTIFICATION DES BASES TRAV'!C176</f>
        <v>0</v>
      </c>
      <c r="D249" s="285">
        <f>'JUSTIFICATION DES BASES TRAV'!D176</f>
        <v>0</v>
      </c>
      <c r="E249" s="285">
        <f>'JUSTIFICATION DES BASES TRAV'!E176</f>
        <v>0</v>
      </c>
      <c r="F249" s="285">
        <f t="shared" si="6"/>
        <v>0</v>
      </c>
      <c r="G249" s="285">
        <f t="shared" si="6"/>
        <v>0</v>
      </c>
    </row>
    <row r="250" spans="1:15" ht="25.9" hidden="1" customHeight="1" x14ac:dyDescent="0.25">
      <c r="A250" s="649" t="s">
        <v>43</v>
      </c>
      <c r="B250" s="649"/>
      <c r="C250" s="207">
        <f>'JUSTIFICATION DES BASES TRAV'!C177</f>
        <v>267.14999999999998</v>
      </c>
      <c r="D250" s="285">
        <f>'JUSTIFICATION DES BASES TRAV'!D177</f>
        <v>267.14999999999998</v>
      </c>
      <c r="E250" s="285">
        <f>'JUSTIFICATION DES BASES TRAV'!E177</f>
        <v>267.14999999999998</v>
      </c>
      <c r="F250" s="285">
        <f t="shared" si="6"/>
        <v>267.14999999999998</v>
      </c>
      <c r="G250" s="285">
        <f t="shared" si="6"/>
        <v>267.14999999999998</v>
      </c>
    </row>
    <row r="251" spans="1:15" ht="25.9" hidden="1" customHeight="1" x14ac:dyDescent="0.25">
      <c r="A251" s="649" t="s">
        <v>171</v>
      </c>
      <c r="B251" s="649"/>
      <c r="C251" s="207">
        <f>'JUSTIFICATION DES BASES TRAV'!C178</f>
        <v>0</v>
      </c>
      <c r="D251" s="285">
        <f>'JUSTIFICATION DES BASES TRAV'!D178</f>
        <v>0</v>
      </c>
      <c r="E251" s="332"/>
      <c r="F251" s="335"/>
      <c r="G251" s="332"/>
    </row>
    <row r="252" spans="1:15" ht="25.9" hidden="1" customHeight="1" x14ac:dyDescent="0.25">
      <c r="A252" s="649" t="s">
        <v>0</v>
      </c>
      <c r="B252" s="649"/>
      <c r="C252" s="207">
        <f>'JUSTIFICATION DES BASES TRAV'!C179</f>
        <v>0</v>
      </c>
      <c r="D252" s="285">
        <f>'JUSTIFICATION DES BASES TRAV'!D179</f>
        <v>0</v>
      </c>
      <c r="E252" s="332"/>
      <c r="F252" s="335"/>
      <c r="G252" s="332"/>
    </row>
    <row r="253" spans="1:15" ht="25.9" hidden="1" customHeight="1" x14ac:dyDescent="0.25">
      <c r="A253" s="649" t="s">
        <v>0</v>
      </c>
      <c r="B253" s="649"/>
      <c r="C253" s="207">
        <f>'JUSTIFICATION DES BASES TRAV'!C180</f>
        <v>0</v>
      </c>
      <c r="D253" s="285">
        <f>'JUSTIFICATION DES BASES TRAV'!D180</f>
        <v>0</v>
      </c>
      <c r="E253" s="332"/>
      <c r="F253" s="335"/>
      <c r="G253" s="332"/>
    </row>
    <row r="254" spans="1:15" ht="25.9" hidden="1" customHeight="1" x14ac:dyDescent="0.25">
      <c r="A254" s="649" t="s">
        <v>318</v>
      </c>
      <c r="B254" s="649"/>
      <c r="C254" s="207">
        <f>'JUSTIFICATION DES BASES TRAV'!C181</f>
        <v>0</v>
      </c>
      <c r="D254" s="285">
        <f>'JUSTIFICATION DES BASES TRAV'!D181</f>
        <v>0</v>
      </c>
      <c r="E254" s="332"/>
      <c r="F254" s="335"/>
      <c r="G254" s="335"/>
    </row>
    <row r="255" spans="1:15" ht="20.45" hidden="1" customHeight="1" x14ac:dyDescent="0.25">
      <c r="A255" s="18" t="s">
        <v>328</v>
      </c>
      <c r="B255" s="286"/>
      <c r="C255" s="207">
        <f>'JUSTIFICATION DES BASES TRAV'!C182</f>
        <v>0</v>
      </c>
      <c r="D255" s="285">
        <f>'JUSTIFICATION DES BASES TRAV'!D182</f>
        <v>0</v>
      </c>
      <c r="E255" s="285"/>
      <c r="F255" s="286"/>
      <c r="G255" s="286"/>
    </row>
    <row r="256" spans="1:15" ht="25.9" hidden="1" customHeight="1" x14ac:dyDescent="0.25">
      <c r="A256" s="649" t="s">
        <v>300</v>
      </c>
      <c r="B256" s="649"/>
      <c r="C256" s="207">
        <f>'JUSTIFICATION DES BASES TRAV'!C183</f>
        <v>0</v>
      </c>
      <c r="D256" s="285">
        <f>'JUSTIFICATION DES BASES TRAV'!D183</f>
        <v>0</v>
      </c>
      <c r="E256" s="285"/>
      <c r="F256" s="286"/>
      <c r="G256" s="286"/>
    </row>
    <row r="257" spans="1:10" ht="25.9" hidden="1" customHeight="1" x14ac:dyDescent="0.25">
      <c r="A257" s="649" t="s">
        <v>172</v>
      </c>
      <c r="B257" s="649"/>
      <c r="C257" s="207">
        <f>'JUSTIFICATION DES BASES TRAV'!C184</f>
        <v>4318.9799999999996</v>
      </c>
      <c r="D257" s="285">
        <f>'JUSTIFICATION DES BASES TRAV'!D184</f>
        <v>4318.9799999999996</v>
      </c>
      <c r="E257" s="287">
        <f>SUM(E246:E256)</f>
        <v>4318.9799999999996</v>
      </c>
      <c r="F257" s="287">
        <f>SUM(F246:F256)</f>
        <v>4318.9799999999996</v>
      </c>
      <c r="G257" s="302">
        <f>SUM(G246:G256)</f>
        <v>4318.9799999999996</v>
      </c>
    </row>
    <row r="258" spans="1:10" ht="25.9" hidden="1" customHeight="1" x14ac:dyDescent="0.25">
      <c r="A258" s="649" t="s">
        <v>13</v>
      </c>
      <c r="B258" s="649"/>
      <c r="C258" s="207">
        <f>'JUSTIFICATION DES BASES TRAV'!C185</f>
        <v>4318.9799999999996</v>
      </c>
      <c r="D258" s="302">
        <f>'JUSTIFICATION DES BASES TRAV'!D185</f>
        <v>4318.9799999999996</v>
      </c>
      <c r="E258" s="285"/>
      <c r="F258" s="285"/>
      <c r="G258" s="285"/>
    </row>
    <row r="259" spans="1:10" ht="24.6" hidden="1" customHeight="1" x14ac:dyDescent="0.25">
      <c r="G259" s="388">
        <f>G257+13.14%*G257</f>
        <v>4886.4939719999993</v>
      </c>
      <c r="H259" s="648" t="s">
        <v>393</v>
      </c>
      <c r="I259" s="648"/>
      <c r="J259" s="648"/>
    </row>
    <row r="260" spans="1:10" ht="24.6" hidden="1" customHeight="1" x14ac:dyDescent="0.25">
      <c r="G260" s="389"/>
      <c r="H260" s="390"/>
      <c r="I260" s="390"/>
      <c r="J260" s="390"/>
    </row>
    <row r="261" spans="1:10" ht="24" hidden="1" customHeight="1" x14ac:dyDescent="0.25">
      <c r="G261" s="389"/>
      <c r="H261" s="390"/>
      <c r="I261" s="390"/>
      <c r="J261" s="390"/>
    </row>
    <row r="262" spans="1:10" ht="24.6" hidden="1" customHeight="1" x14ac:dyDescent="0.25">
      <c r="G262" s="389"/>
      <c r="H262" s="390"/>
      <c r="I262" s="390"/>
      <c r="J262" s="390"/>
    </row>
    <row r="263" spans="1:10" ht="24.6" hidden="1" customHeight="1" x14ac:dyDescent="0.25">
      <c r="G263" s="389"/>
      <c r="H263" s="390"/>
      <c r="I263" s="390"/>
      <c r="J263" s="390"/>
    </row>
    <row r="264" spans="1:10" ht="24.6" hidden="1" customHeight="1" x14ac:dyDescent="0.25">
      <c r="G264" s="389"/>
      <c r="H264" s="390"/>
      <c r="I264" s="390"/>
      <c r="J264" s="390"/>
    </row>
    <row r="265" spans="1:10" ht="24.6" hidden="1" customHeight="1" x14ac:dyDescent="0.25">
      <c r="G265" s="389"/>
      <c r="H265" s="390"/>
      <c r="I265" s="390"/>
      <c r="J265" s="390"/>
    </row>
    <row r="266" spans="1:10" ht="24.6" hidden="1" customHeight="1" x14ac:dyDescent="0.25">
      <c r="G266" s="389"/>
      <c r="H266" s="390"/>
      <c r="I266" s="390"/>
      <c r="J266" s="390"/>
    </row>
    <row r="267" spans="1:10" ht="24.6" customHeight="1" x14ac:dyDescent="0.25">
      <c r="G267" s="389"/>
      <c r="H267" s="390"/>
      <c r="I267" s="390"/>
      <c r="J267" s="390"/>
    </row>
    <row r="269" spans="1:10" ht="25.15" customHeight="1" x14ac:dyDescent="0.25">
      <c r="B269" s="650" t="s">
        <v>351</v>
      </c>
      <c r="C269" s="650"/>
      <c r="D269" s="650"/>
      <c r="E269" s="650"/>
      <c r="F269" s="650"/>
      <c r="G269" s="650"/>
    </row>
    <row r="271" spans="1:10" s="6" customFormat="1" ht="36" customHeight="1" x14ac:dyDescent="0.25">
      <c r="D271" s="541" t="s">
        <v>344</v>
      </c>
      <c r="E271" s="541"/>
      <c r="F271" s="541"/>
      <c r="G271" s="541"/>
    </row>
    <row r="272" spans="1:10" s="6" customFormat="1" ht="15.75" x14ac:dyDescent="0.25">
      <c r="B272" s="541" t="s">
        <v>345</v>
      </c>
      <c r="C272" s="541"/>
      <c r="D272" s="91">
        <v>75</v>
      </c>
      <c r="E272" s="651" t="s">
        <v>346</v>
      </c>
      <c r="F272" s="91">
        <v>4</v>
      </c>
      <c r="G272" s="652" t="s">
        <v>347</v>
      </c>
    </row>
    <row r="273" spans="2:7" s="6" customFormat="1" ht="15.75" x14ac:dyDescent="0.25">
      <c r="B273" s="541"/>
      <c r="C273" s="541"/>
      <c r="D273" s="91">
        <v>78</v>
      </c>
      <c r="E273" s="652"/>
      <c r="F273" s="91">
        <v>5</v>
      </c>
      <c r="G273" s="652"/>
    </row>
    <row r="274" spans="2:7" s="6" customFormat="1" ht="15.75" x14ac:dyDescent="0.25">
      <c r="B274" s="541"/>
      <c r="C274" s="541"/>
      <c r="D274" s="91">
        <v>91</v>
      </c>
      <c r="E274" s="652"/>
      <c r="F274" s="91">
        <v>6</v>
      </c>
      <c r="G274" s="652"/>
    </row>
    <row r="275" spans="2:7" s="6" customFormat="1" ht="15.75" x14ac:dyDescent="0.25">
      <c r="B275" s="541"/>
      <c r="C275" s="541"/>
      <c r="D275" s="91">
        <v>92</v>
      </c>
      <c r="E275" s="652"/>
      <c r="F275" s="91">
        <v>13</v>
      </c>
      <c r="G275" s="652"/>
    </row>
    <row r="276" spans="2:7" s="6" customFormat="1" ht="15.75" x14ac:dyDescent="0.25">
      <c r="B276" s="541"/>
      <c r="C276" s="541"/>
      <c r="D276" s="91">
        <v>93</v>
      </c>
      <c r="E276" s="652"/>
      <c r="F276" s="91">
        <v>83</v>
      </c>
      <c r="G276" s="652"/>
    </row>
    <row r="277" spans="2:7" s="6" customFormat="1" ht="15.75" x14ac:dyDescent="0.25">
      <c r="B277" s="541"/>
      <c r="C277" s="541"/>
      <c r="D277" s="91">
        <v>95</v>
      </c>
      <c r="E277" s="652"/>
      <c r="F277" s="91">
        <v>84</v>
      </c>
      <c r="G277" s="652"/>
    </row>
    <row r="278" spans="2:7" s="6" customFormat="1" ht="15.75" x14ac:dyDescent="0.25">
      <c r="B278" s="541"/>
      <c r="C278" s="541"/>
      <c r="D278" s="91">
        <v>95</v>
      </c>
      <c r="E278" s="652"/>
      <c r="F278" s="91">
        <v>42</v>
      </c>
      <c r="G278" s="338" t="s">
        <v>348</v>
      </c>
    </row>
    <row r="279" spans="2:7" s="6" customFormat="1" ht="15.75" x14ac:dyDescent="0.25">
      <c r="B279" s="541"/>
      <c r="C279" s="541"/>
      <c r="D279" s="541" t="s">
        <v>349</v>
      </c>
      <c r="E279" s="541"/>
      <c r="F279" s="134"/>
      <c r="G279" s="134"/>
    </row>
    <row r="280" spans="2:7" s="6" customFormat="1" ht="31.5" x14ac:dyDescent="0.25">
      <c r="B280" s="541"/>
      <c r="C280" s="541"/>
      <c r="D280" s="310">
        <v>77</v>
      </c>
      <c r="E280" s="333" t="s">
        <v>350</v>
      </c>
      <c r="F280" s="134"/>
      <c r="G280" s="134"/>
    </row>
  </sheetData>
  <mergeCells count="140"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A115:D115"/>
    <mergeCell ref="A116:D116"/>
    <mergeCell ref="A117:D117"/>
    <mergeCell ref="A119:B119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28:B128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33:K233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A112" workbookViewId="0">
      <selection activeCell="I117" sqref="I117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0" t="s">
        <v>274</v>
      </c>
      <c r="B2" s="271"/>
      <c r="C2" s="325" t="s">
        <v>5</v>
      </c>
      <c r="D2" s="325"/>
      <c r="E2" s="326">
        <f>'BP CORRECTION  '!J11</f>
        <v>4051.83</v>
      </c>
      <c r="F2" s="271"/>
      <c r="G2" s="273"/>
      <c r="H2" s="178" t="s">
        <v>285</v>
      </c>
      <c r="J2" s="259" t="s">
        <v>286</v>
      </c>
      <c r="K2" s="259"/>
      <c r="L2" s="260">
        <f>'BP CORRECTION  '!J34</f>
        <v>4318.9799999999996</v>
      </c>
    </row>
    <row r="3" spans="1:13" s="5" customFormat="1" x14ac:dyDescent="0.25">
      <c r="A3" s="262"/>
      <c r="B3" s="178"/>
      <c r="C3" s="327" t="s">
        <v>314</v>
      </c>
      <c r="D3" s="327"/>
      <c r="E3" s="328">
        <f>'BP CORRECTION  '!J21</f>
        <v>0</v>
      </c>
      <c r="G3" s="263"/>
      <c r="J3" s="259" t="s">
        <v>287</v>
      </c>
      <c r="K3" s="259"/>
      <c r="L3" s="260">
        <f>-'BP CORRECTION  '!I71</f>
        <v>-937.78</v>
      </c>
    </row>
    <row r="4" spans="1:13" s="5" customFormat="1" x14ac:dyDescent="0.25">
      <c r="A4" s="262"/>
      <c r="B4" s="178"/>
      <c r="C4" s="327" t="s">
        <v>313</v>
      </c>
      <c r="D4" s="327"/>
      <c r="E4" s="328">
        <f>'BP CORRECTION  '!J23</f>
        <v>0</v>
      </c>
      <c r="G4" s="263"/>
      <c r="I4" s="11" t="s">
        <v>309</v>
      </c>
      <c r="J4" s="259" t="s">
        <v>288</v>
      </c>
      <c r="K4" s="259"/>
      <c r="L4" s="260">
        <f>-E7-E8</f>
        <v>0</v>
      </c>
    </row>
    <row r="5" spans="1:13" s="5" customFormat="1" x14ac:dyDescent="0.25">
      <c r="A5" s="262"/>
      <c r="C5" s="327" t="s">
        <v>374</v>
      </c>
      <c r="D5" s="327"/>
      <c r="E5" s="328">
        <f>'BP CORRECTION  '!J16+'BP CORRECTION  '!J17+'BP CORRECTION  '!J18+'BP CORRECTION  '!J19+'BP CORRECTION  '!J20</f>
        <v>267.14999999999998</v>
      </c>
      <c r="G5" s="263"/>
      <c r="J5" s="259" t="s">
        <v>171</v>
      </c>
      <c r="K5" s="259"/>
      <c r="L5" s="260"/>
    </row>
    <row r="6" spans="1:13" s="5" customFormat="1" x14ac:dyDescent="0.25">
      <c r="A6" s="262"/>
      <c r="C6" s="327" t="s">
        <v>38</v>
      </c>
      <c r="D6" s="327"/>
      <c r="E6" s="328">
        <f>+'BP CORRECTION  '!J29</f>
        <v>0</v>
      </c>
      <c r="G6" s="263"/>
      <c r="J6" s="259" t="s">
        <v>317</v>
      </c>
      <c r="K6" s="259"/>
      <c r="L6" s="260">
        <f>-'BP CORRECTION  '!J32-'BP CORRECTION  '!I75</f>
        <v>0</v>
      </c>
      <c r="M6" s="5" t="s">
        <v>399</v>
      </c>
    </row>
    <row r="7" spans="1:13" s="5" customFormat="1" x14ac:dyDescent="0.25">
      <c r="A7" s="262"/>
      <c r="C7" s="327" t="s">
        <v>0</v>
      </c>
      <c r="D7" s="327"/>
      <c r="E7" s="328"/>
      <c r="G7" s="263"/>
    </row>
    <row r="8" spans="1:13" s="5" customFormat="1" x14ac:dyDescent="0.25">
      <c r="A8" s="262"/>
      <c r="C8" s="327" t="s">
        <v>0</v>
      </c>
      <c r="D8" s="327"/>
      <c r="E8" s="327"/>
      <c r="G8" s="263"/>
      <c r="H8" s="180"/>
      <c r="J8" s="178" t="s">
        <v>285</v>
      </c>
      <c r="L8" s="257">
        <f>SUM(L2:L5)</f>
        <v>3381.2</v>
      </c>
    </row>
    <row r="9" spans="1:13" s="5" customFormat="1" x14ac:dyDescent="0.25">
      <c r="A9" s="262"/>
      <c r="C9" s="327" t="s">
        <v>389</v>
      </c>
      <c r="D9" s="327"/>
      <c r="E9" s="328"/>
      <c r="G9" s="263"/>
      <c r="J9" s="178"/>
      <c r="L9" s="257"/>
    </row>
    <row r="10" spans="1:13" s="5" customFormat="1" x14ac:dyDescent="0.25">
      <c r="A10" s="262"/>
      <c r="C10" s="327" t="s">
        <v>318</v>
      </c>
      <c r="D10" s="327"/>
      <c r="E10" s="328">
        <f>'BP CORRECTION  '!J32</f>
        <v>0</v>
      </c>
      <c r="G10" s="263"/>
      <c r="H10" s="180"/>
      <c r="I10" s="11" t="s">
        <v>309</v>
      </c>
      <c r="J10" s="5" t="s">
        <v>342</v>
      </c>
    </row>
    <row r="11" spans="1:13" s="5" customFormat="1" x14ac:dyDescent="0.25">
      <c r="A11" s="262"/>
      <c r="C11" s="327" t="s">
        <v>318</v>
      </c>
      <c r="D11" s="327"/>
      <c r="E11" s="328"/>
      <c r="G11" s="263"/>
      <c r="H11" s="180"/>
    </row>
    <row r="12" spans="1:13" s="5" customFormat="1" x14ac:dyDescent="0.25">
      <c r="A12" s="262"/>
      <c r="C12" s="327" t="s">
        <v>379</v>
      </c>
      <c r="D12" s="329"/>
      <c r="E12" s="328">
        <f>'BP CORRECTION  '!J33</f>
        <v>0</v>
      </c>
      <c r="G12" s="263"/>
      <c r="H12" s="180"/>
      <c r="J12" s="5" t="s">
        <v>444</v>
      </c>
    </row>
    <row r="13" spans="1:13" s="5" customFormat="1" x14ac:dyDescent="0.25">
      <c r="A13" s="262"/>
      <c r="C13" s="327" t="s">
        <v>277</v>
      </c>
      <c r="D13" s="327"/>
      <c r="E13" s="328">
        <f>SUM(E2:E12)</f>
        <v>4318.9799999999996</v>
      </c>
      <c r="G13" s="263"/>
      <c r="H13" s="180"/>
      <c r="J13" s="5" t="s">
        <v>394</v>
      </c>
    </row>
    <row r="14" spans="1:13" s="5" customFormat="1" x14ac:dyDescent="0.25">
      <c r="A14" s="262"/>
      <c r="C14" s="327" t="s">
        <v>219</v>
      </c>
      <c r="D14" s="327"/>
      <c r="E14" s="328"/>
      <c r="G14" s="263"/>
      <c r="H14" s="179"/>
      <c r="J14" s="5" t="s">
        <v>395</v>
      </c>
    </row>
    <row r="15" spans="1:13" s="5" customFormat="1" x14ac:dyDescent="0.25">
      <c r="A15" s="262"/>
      <c r="C15" s="327" t="s">
        <v>372</v>
      </c>
      <c r="D15" s="327"/>
      <c r="E15" s="328">
        <f>'BP CORRECTION  '!I73</f>
        <v>0</v>
      </c>
      <c r="G15" s="263"/>
      <c r="H15" s="180"/>
    </row>
    <row r="16" spans="1:13" s="5" customFormat="1" x14ac:dyDescent="0.25">
      <c r="A16" s="262"/>
      <c r="C16" s="327" t="s">
        <v>278</v>
      </c>
      <c r="D16" s="327"/>
      <c r="E16" s="328">
        <f>-'BP CORRECTION  '!I71</f>
        <v>-937.78</v>
      </c>
      <c r="G16" s="263"/>
    </row>
    <row r="17" spans="1:15" s="5" customFormat="1" ht="14.45" customHeight="1" x14ac:dyDescent="0.25">
      <c r="A17" s="262"/>
      <c r="C17" s="703" t="s">
        <v>274</v>
      </c>
      <c r="D17" s="703"/>
      <c r="E17" s="257">
        <f>SUM(E13:E16)</f>
        <v>3381.2</v>
      </c>
      <c r="G17" s="263"/>
      <c r="J17" s="710" t="s">
        <v>323</v>
      </c>
      <c r="K17" s="711"/>
      <c r="L17" s="711"/>
      <c r="M17" s="711"/>
      <c r="N17" s="711"/>
      <c r="O17" s="712"/>
    </row>
    <row r="18" spans="1:15" s="5" customFormat="1" x14ac:dyDescent="0.25">
      <c r="A18" s="262"/>
      <c r="G18" s="263"/>
      <c r="J18" s="262"/>
      <c r="O18" s="263"/>
    </row>
    <row r="19" spans="1:15" s="5" customFormat="1" x14ac:dyDescent="0.25">
      <c r="A19" s="268"/>
      <c r="B19" s="269"/>
      <c r="C19" s="269"/>
      <c r="D19" s="269"/>
      <c r="E19" s="269"/>
      <c r="F19" s="269"/>
      <c r="G19" s="276"/>
      <c r="J19" s="262"/>
      <c r="O19" s="263"/>
    </row>
    <row r="20" spans="1:15" s="5" customFormat="1" x14ac:dyDescent="0.25">
      <c r="J20" s="262"/>
      <c r="M20" s="259" t="s">
        <v>5</v>
      </c>
      <c r="N20" s="259"/>
      <c r="O20" s="264">
        <f>E2</f>
        <v>4051.83</v>
      </c>
    </row>
    <row r="21" spans="1:15" s="5" customFormat="1" x14ac:dyDescent="0.25">
      <c r="A21" s="270"/>
      <c r="B21" s="271"/>
      <c r="C21" s="271"/>
      <c r="D21" s="271" t="s">
        <v>274</v>
      </c>
      <c r="E21" s="272">
        <f>+E17</f>
        <v>3381.2</v>
      </c>
      <c r="F21" s="271"/>
      <c r="G21" s="271"/>
      <c r="H21" s="180"/>
      <c r="J21" s="262"/>
      <c r="M21" s="259" t="s">
        <v>314</v>
      </c>
      <c r="N21" s="259"/>
      <c r="O21" s="264">
        <f>E3</f>
        <v>0</v>
      </c>
    </row>
    <row r="22" spans="1:15" s="5" customFormat="1" x14ac:dyDescent="0.25">
      <c r="A22" s="262"/>
      <c r="B22" s="5" t="s">
        <v>374</v>
      </c>
      <c r="E22" s="260">
        <f>-E5</f>
        <v>-267.14999999999998</v>
      </c>
      <c r="H22" s="180"/>
      <c r="J22" s="262"/>
      <c r="M22" s="259" t="s">
        <v>313</v>
      </c>
      <c r="N22" s="259"/>
      <c r="O22" s="264">
        <f>E4</f>
        <v>0</v>
      </c>
    </row>
    <row r="23" spans="1:15" s="5" customFormat="1" ht="18" customHeight="1" x14ac:dyDescent="0.25">
      <c r="A23" s="262"/>
      <c r="B23" s="5" t="s">
        <v>319</v>
      </c>
      <c r="E23" s="260"/>
      <c r="H23" s="180"/>
      <c r="J23" s="713"/>
      <c r="K23" s="703"/>
      <c r="L23" s="703"/>
      <c r="M23" s="259" t="s">
        <v>322</v>
      </c>
      <c r="N23" s="259"/>
      <c r="O23" s="264"/>
    </row>
    <row r="24" spans="1:15" s="5" customFormat="1" ht="16.5" customHeight="1" x14ac:dyDescent="0.25">
      <c r="A24" s="265" t="s">
        <v>283</v>
      </c>
      <c r="E24" s="260">
        <f>-E7</f>
        <v>0</v>
      </c>
      <c r="F24" s="5" t="s">
        <v>320</v>
      </c>
      <c r="H24" s="179"/>
      <c r="J24" s="262"/>
      <c r="M24" s="259" t="s">
        <v>38</v>
      </c>
      <c r="N24" s="259"/>
      <c r="O24" s="264">
        <f>'BP CORRECTION  '!J29</f>
        <v>0</v>
      </c>
    </row>
    <row r="25" spans="1:15" s="5" customFormat="1" ht="14.45" customHeight="1" x14ac:dyDescent="0.25">
      <c r="A25" s="262"/>
      <c r="B25" s="5" t="s">
        <v>317</v>
      </c>
      <c r="E25" s="260">
        <f>-E10-E11</f>
        <v>0</v>
      </c>
      <c r="H25" s="180"/>
      <c r="J25" s="265"/>
      <c r="M25" s="259" t="s">
        <v>0</v>
      </c>
      <c r="N25" s="259"/>
      <c r="O25" s="264"/>
    </row>
    <row r="26" spans="1:15" s="5" customFormat="1" x14ac:dyDescent="0.25">
      <c r="A26" s="262"/>
      <c r="B26" s="5" t="s">
        <v>171</v>
      </c>
      <c r="E26" s="260"/>
      <c r="H26" s="180"/>
      <c r="J26" s="265"/>
      <c r="K26" s="12"/>
      <c r="L26" s="12"/>
      <c r="M26" s="259" t="s">
        <v>0</v>
      </c>
      <c r="N26" s="259"/>
      <c r="O26" s="264"/>
    </row>
    <row r="27" spans="1:15" s="5" customFormat="1" x14ac:dyDescent="0.25">
      <c r="A27" s="5" t="s">
        <v>422</v>
      </c>
      <c r="E27" s="260">
        <f>-E9</f>
        <v>0</v>
      </c>
      <c r="F27" s="178"/>
      <c r="H27" s="180"/>
      <c r="J27" s="262"/>
      <c r="M27" s="259" t="s">
        <v>318</v>
      </c>
      <c r="N27" s="259"/>
      <c r="O27" s="264"/>
    </row>
    <row r="28" spans="1:15" s="5" customFormat="1" x14ac:dyDescent="0.25">
      <c r="A28" s="262"/>
      <c r="B28" s="5" t="s">
        <v>281</v>
      </c>
      <c r="E28" s="260">
        <f>'BP CORRECTION  '!I62</f>
        <v>118.74</v>
      </c>
      <c r="H28" s="180"/>
      <c r="J28" s="262"/>
      <c r="M28" s="259" t="s">
        <v>318</v>
      </c>
      <c r="N28" s="259"/>
      <c r="O28" s="264"/>
    </row>
    <row r="29" spans="1:15" s="5" customFormat="1" x14ac:dyDescent="0.25">
      <c r="A29" s="262"/>
      <c r="B29" s="5" t="s">
        <v>279</v>
      </c>
      <c r="E29" s="260">
        <f>'BP CORRECTION  '!I63</f>
        <v>17.850000000000001</v>
      </c>
      <c r="H29" s="180"/>
      <c r="J29" s="262"/>
      <c r="M29" s="260" t="s">
        <v>300</v>
      </c>
      <c r="N29" s="259"/>
      <c r="O29" s="264">
        <f>+'BP CORRECTION  '!J33</f>
        <v>0</v>
      </c>
    </row>
    <row r="30" spans="1:15" s="5" customFormat="1" x14ac:dyDescent="0.25">
      <c r="A30" s="262"/>
      <c r="B30" s="5" t="s">
        <v>280</v>
      </c>
      <c r="E30" s="260">
        <f>'BP CORRECTION  '!I64</f>
        <v>7.61</v>
      </c>
      <c r="H30" s="180"/>
      <c r="J30" s="262"/>
      <c r="M30" s="260"/>
      <c r="N30" s="259"/>
      <c r="O30" s="264">
        <f>SUM(O20:O29)</f>
        <v>4051.83</v>
      </c>
    </row>
    <row r="31" spans="1:15" s="5" customFormat="1" x14ac:dyDescent="0.25">
      <c r="A31" s="262"/>
      <c r="B31" s="707" t="s">
        <v>554</v>
      </c>
      <c r="C31" s="707"/>
      <c r="D31" s="61"/>
      <c r="E31" s="260">
        <f>0.12%*'BP CORRECTION  '!E70+0.12%*'BP CORRECTION  '!E69</f>
        <v>5.1827759999999987</v>
      </c>
      <c r="H31" s="401"/>
      <c r="J31" s="262"/>
      <c r="O31" s="263"/>
    </row>
    <row r="32" spans="1:15" s="5" customFormat="1" x14ac:dyDescent="0.25">
      <c r="A32" s="262"/>
      <c r="H32" s="380"/>
      <c r="J32" s="262"/>
      <c r="M32" s="259" t="s">
        <v>321</v>
      </c>
      <c r="N32" s="259"/>
      <c r="O32" s="266">
        <f>ROUND(O30*0.9825,2)</f>
        <v>3980.92</v>
      </c>
    </row>
    <row r="33" spans="1:16" s="5" customFormat="1" x14ac:dyDescent="0.25">
      <c r="B33" s="316" t="s">
        <v>219</v>
      </c>
      <c r="E33" s="260">
        <f>-E14</f>
        <v>0</v>
      </c>
      <c r="H33" s="263"/>
      <c r="J33" s="262"/>
      <c r="M33" s="259"/>
      <c r="N33" s="259"/>
      <c r="O33" s="266"/>
    </row>
    <row r="34" spans="1:16" s="5" customFormat="1" x14ac:dyDescent="0.25">
      <c r="B34" s="316" t="s">
        <v>372</v>
      </c>
      <c r="E34" s="260">
        <f>-E15</f>
        <v>0</v>
      </c>
      <c r="H34" s="263"/>
      <c r="J34" s="262"/>
      <c r="M34" s="259"/>
      <c r="N34" s="259"/>
      <c r="O34" s="266"/>
    </row>
    <row r="35" spans="1:16" s="5" customFormat="1" x14ac:dyDescent="0.25">
      <c r="A35" s="262"/>
      <c r="B35" s="5" t="s">
        <v>282</v>
      </c>
      <c r="E35" s="274">
        <f>'BP CORRECTION  '!J40</f>
        <v>50</v>
      </c>
      <c r="H35" s="263"/>
      <c r="J35" s="262"/>
      <c r="K35" s="180"/>
      <c r="M35" s="179"/>
      <c r="O35" s="267">
        <f>'BP CORRECTION  '!J40</f>
        <v>50</v>
      </c>
    </row>
    <row r="36" spans="1:16" s="5" customFormat="1" x14ac:dyDescent="0.25">
      <c r="A36" s="268"/>
      <c r="B36" s="269"/>
      <c r="C36" s="721" t="s">
        <v>182</v>
      </c>
      <c r="D36" s="721"/>
      <c r="E36" s="275">
        <f>SUM(E21:E35)</f>
        <v>3313.4327759999996</v>
      </c>
      <c r="F36" s="313"/>
      <c r="G36" s="313"/>
      <c r="H36" s="276"/>
      <c r="J36" s="262"/>
      <c r="K36" s="5" t="s">
        <v>479</v>
      </c>
      <c r="O36" s="267">
        <f>+'BP CORRECTION  '!J69+'BP CORRECTION  '!J70</f>
        <v>63.6</v>
      </c>
    </row>
    <row r="37" spans="1:16" s="5" customFormat="1" x14ac:dyDescent="0.25">
      <c r="J37" s="262"/>
      <c r="O37" s="284">
        <f>ROUND(SUM(O32:O36),2)</f>
        <v>4094.52</v>
      </c>
    </row>
    <row r="38" spans="1:16" s="5" customFormat="1" x14ac:dyDescent="0.25">
      <c r="B38" s="5" t="s">
        <v>284</v>
      </c>
      <c r="F38" s="180">
        <f>'BP CORRECTION  '!J16+'BP CORRECTION  '!J17+'BP CORRECTION  '!J18+'BP CORRECTION  '!J19+'BP CORRECTION  '!J20</f>
        <v>267.14999999999998</v>
      </c>
      <c r="J38" s="268"/>
      <c r="K38" s="269"/>
      <c r="L38" s="269"/>
      <c r="M38" s="346"/>
      <c r="N38" s="340"/>
      <c r="O38" s="276"/>
    </row>
    <row r="39" spans="1:16" s="5" customFormat="1" ht="13.9" customHeight="1" x14ac:dyDescent="0.25">
      <c r="B39" s="5" t="s">
        <v>50</v>
      </c>
      <c r="F39" s="180">
        <f>-'BP CORRECTION  '!I63</f>
        <v>-17.850000000000001</v>
      </c>
      <c r="I39" s="11"/>
      <c r="J39" s="702"/>
      <c r="K39" s="702"/>
      <c r="L39" s="702"/>
      <c r="M39" s="702"/>
      <c r="N39" s="702"/>
      <c r="O39" s="702"/>
    </row>
    <row r="40" spans="1:16" s="5" customFormat="1" ht="13.9" customHeight="1" x14ac:dyDescent="0.25">
      <c r="F40" s="257">
        <f>SUM(F38:F39)</f>
        <v>249.29999999999998</v>
      </c>
      <c r="G40" s="5" t="s">
        <v>448</v>
      </c>
      <c r="J40" s="702"/>
      <c r="K40" s="702"/>
      <c r="L40" s="702"/>
      <c r="M40" s="702"/>
      <c r="N40" s="702"/>
      <c r="O40" s="702"/>
    </row>
    <row r="41" spans="1:16" s="5" customFormat="1" x14ac:dyDescent="0.25">
      <c r="J41" s="702"/>
      <c r="K41" s="702"/>
      <c r="L41" s="702"/>
      <c r="M41" s="702"/>
      <c r="N41" s="702"/>
      <c r="O41" s="702"/>
    </row>
    <row r="42" spans="1:16" s="5" customFormat="1" x14ac:dyDescent="0.25">
      <c r="B42" s="176">
        <v>45778</v>
      </c>
      <c r="C42" s="5" t="s">
        <v>290</v>
      </c>
    </row>
    <row r="43" spans="1:16" s="5" customFormat="1" x14ac:dyDescent="0.25">
      <c r="B43" s="339">
        <f>+F236*F237</f>
        <v>12</v>
      </c>
      <c r="C43" s="5" t="s">
        <v>462</v>
      </c>
      <c r="L43" s="5" t="s">
        <v>421</v>
      </c>
    </row>
    <row r="44" spans="1:16" s="5" customFormat="1" x14ac:dyDescent="0.25">
      <c r="B44" s="177"/>
      <c r="C44" s="5" t="s">
        <v>468</v>
      </c>
    </row>
    <row r="45" spans="1:16" s="5" customFormat="1" x14ac:dyDescent="0.25"/>
    <row r="46" spans="1:16" s="5" customFormat="1" ht="18.75" x14ac:dyDescent="0.3">
      <c r="B46" s="178" t="s">
        <v>480</v>
      </c>
      <c r="C46" s="337">
        <f>K46+B43</f>
        <v>186.92</v>
      </c>
      <c r="D46" s="5" t="s">
        <v>299</v>
      </c>
      <c r="E46" s="5" t="s">
        <v>378</v>
      </c>
      <c r="H46" s="627" t="s">
        <v>538</v>
      </c>
      <c r="I46" s="627"/>
      <c r="K46" s="350">
        <f>'RGDU '!C46</f>
        <v>174.92</v>
      </c>
      <c r="M46" s="5" t="s">
        <v>419</v>
      </c>
      <c r="N46"/>
      <c r="O46" s="13"/>
      <c r="P46" s="13"/>
    </row>
    <row r="47" spans="1:16" s="450" customFormat="1" ht="18.75" x14ac:dyDescent="0.3">
      <c r="J47" s="458"/>
      <c r="K47" s="459"/>
      <c r="M47" s="449"/>
      <c r="O47" s="461"/>
      <c r="P47" s="461"/>
    </row>
    <row r="48" spans="1:16" s="450" customFormat="1" ht="18.75" x14ac:dyDescent="0.3">
      <c r="C48" s="462"/>
      <c r="K48" s="460"/>
      <c r="L48" s="460"/>
      <c r="M48" s="449"/>
      <c r="N48" s="449"/>
      <c r="O48" s="461"/>
      <c r="P48" s="461"/>
    </row>
    <row r="49" spans="1:16" s="450" customFormat="1" ht="18.75" x14ac:dyDescent="0.3">
      <c r="C49" s="462"/>
      <c r="K49" s="460"/>
      <c r="L49" s="460"/>
      <c r="M49" s="449"/>
      <c r="N49" s="449"/>
      <c r="O49" s="461"/>
      <c r="P49" s="461"/>
    </row>
    <row r="50" spans="1:16" s="5" customFormat="1" x14ac:dyDescent="0.25">
      <c r="C50" s="281"/>
    </row>
    <row r="51" spans="1:16" s="5" customFormat="1" x14ac:dyDescent="0.25">
      <c r="A51" s="5" t="s">
        <v>309</v>
      </c>
      <c r="C51" s="281"/>
    </row>
    <row r="52" spans="1:16" s="5" customFormat="1" x14ac:dyDescent="0.25">
      <c r="C52" s="281"/>
    </row>
    <row r="53" spans="1:16" s="5" customFormat="1" x14ac:dyDescent="0.25">
      <c r="C53" s="281"/>
    </row>
    <row r="54" spans="1:16" s="5" customFormat="1" x14ac:dyDescent="0.25">
      <c r="C54" s="281"/>
    </row>
    <row r="55" spans="1:16" s="5" customFormat="1" x14ac:dyDescent="0.25">
      <c r="C55" s="281"/>
    </row>
    <row r="56" spans="1:16" s="5" customFormat="1" x14ac:dyDescent="0.25">
      <c r="C56" s="281"/>
    </row>
    <row r="57" spans="1:16" s="5" customFormat="1" ht="17.45" hidden="1" customHeight="1" x14ac:dyDescent="0.25">
      <c r="A57" s="703" t="s">
        <v>331</v>
      </c>
      <c r="B57" s="703"/>
      <c r="C57" s="703"/>
      <c r="D57" s="703"/>
      <c r="E57" s="703"/>
    </row>
    <row r="58" spans="1:16" s="5" customFormat="1" hidden="1" x14ac:dyDescent="0.25">
      <c r="C58" s="281"/>
    </row>
    <row r="59" spans="1:16" s="5" customFormat="1" ht="24" hidden="1" customHeight="1" x14ac:dyDescent="0.25">
      <c r="A59" s="606" t="s">
        <v>42</v>
      </c>
      <c r="B59" s="606"/>
      <c r="C59" s="606"/>
      <c r="D59" s="606"/>
      <c r="E59" s="207">
        <f>'BP CORRECTION  '!E55</f>
        <v>4005</v>
      </c>
    </row>
    <row r="60" spans="1:16" s="5" customFormat="1" ht="24" hidden="1" customHeight="1" x14ac:dyDescent="0.25">
      <c r="A60" s="606" t="s">
        <v>40</v>
      </c>
      <c r="B60" s="606"/>
      <c r="C60" s="606"/>
      <c r="D60" s="606"/>
      <c r="E60" s="207">
        <f>'BP CORRECTION  '!E56</f>
        <v>4318.9799999999996</v>
      </c>
    </row>
    <row r="61" spans="1:16" s="5" customFormat="1" ht="24" hidden="1" customHeight="1" x14ac:dyDescent="0.25">
      <c r="A61" s="606" t="s">
        <v>41</v>
      </c>
      <c r="B61" s="606"/>
      <c r="C61" s="606"/>
      <c r="D61" s="606"/>
      <c r="E61" s="207" t="e">
        <f>'BP CORRECTION  '!#REF!</f>
        <v>#REF!</v>
      </c>
    </row>
    <row r="62" spans="1:16" s="5" customFormat="1" ht="24" hidden="1" customHeight="1" x14ac:dyDescent="0.25">
      <c r="A62" s="606" t="s">
        <v>18</v>
      </c>
      <c r="B62" s="606"/>
      <c r="C62" s="606"/>
      <c r="D62" s="606"/>
      <c r="E62" s="207">
        <f>'BP CORRECTION  '!E58</f>
        <v>4318.9799999999996</v>
      </c>
    </row>
    <row r="63" spans="1:16" ht="16.899999999999999" hidden="1" customHeight="1" x14ac:dyDescent="0.25">
      <c r="A63" s="700" t="s">
        <v>1</v>
      </c>
      <c r="B63" s="700"/>
      <c r="C63" s="700"/>
      <c r="D63" s="700"/>
      <c r="E63" s="184"/>
    </row>
    <row r="64" spans="1:16" ht="21" hidden="1" customHeight="1" x14ac:dyDescent="0.25">
      <c r="A64" s="700" t="s">
        <v>20</v>
      </c>
      <c r="B64" s="700"/>
      <c r="C64" s="700"/>
      <c r="D64" s="700"/>
      <c r="E64" s="184">
        <f>'BP CORRECTION  '!E57</f>
        <v>4318.9799999999996</v>
      </c>
    </row>
    <row r="65" spans="1:5" ht="21" hidden="1" customHeight="1" x14ac:dyDescent="0.25">
      <c r="A65" s="700" t="s">
        <v>2</v>
      </c>
      <c r="B65" s="700"/>
      <c r="C65" s="700"/>
      <c r="D65" s="700"/>
      <c r="E65" s="184" t="e">
        <f>'BP CORRECTION  '!#REF!</f>
        <v>#REF!</v>
      </c>
    </row>
    <row r="66" spans="1:5" ht="21" hidden="1" customHeight="1" x14ac:dyDescent="0.25">
      <c r="A66" s="700" t="s">
        <v>3</v>
      </c>
      <c r="B66" s="700"/>
      <c r="C66" s="700"/>
      <c r="D66" s="700"/>
      <c r="E66" s="184" t="e">
        <f>'BP CORRECTION  '!#REF!</f>
        <v>#REF!</v>
      </c>
    </row>
    <row r="67" spans="1:5" ht="21" hidden="1" customHeight="1" x14ac:dyDescent="0.25">
      <c r="A67" s="700" t="s">
        <v>4</v>
      </c>
      <c r="B67" s="700"/>
      <c r="C67" s="700"/>
      <c r="D67" s="700"/>
      <c r="E67" s="184" t="e">
        <f>'BP CORRECTION  '!#REF!</f>
        <v>#REF!</v>
      </c>
    </row>
    <row r="68" spans="1:5" ht="21" hidden="1" customHeight="1" x14ac:dyDescent="0.25">
      <c r="A68" s="700" t="s">
        <v>17</v>
      </c>
      <c r="B68" s="700"/>
      <c r="C68" s="700"/>
      <c r="D68" s="700"/>
      <c r="E68" s="184" t="e">
        <f>'BP CORRECTION  '!#REF!</f>
        <v>#REF!</v>
      </c>
    </row>
    <row r="69" spans="1:5" ht="21" hidden="1" customHeight="1" x14ac:dyDescent="0.25">
      <c r="A69" s="699" t="s">
        <v>49</v>
      </c>
      <c r="B69" s="699"/>
      <c r="C69" s="699"/>
      <c r="D69" s="699"/>
      <c r="E69" s="184">
        <f>'BP CORRECTION  '!E61</f>
        <v>4094.52</v>
      </c>
    </row>
    <row r="70" spans="1:5" ht="21" hidden="1" customHeight="1" x14ac:dyDescent="0.25">
      <c r="A70" s="699" t="s">
        <v>19</v>
      </c>
      <c r="B70" s="699"/>
      <c r="C70" s="699"/>
      <c r="D70" s="699"/>
      <c r="E70" s="184">
        <f>'BP CORRECTION  '!E62</f>
        <v>4094.52</v>
      </c>
    </row>
    <row r="71" spans="1:5" ht="18" hidden="1" customHeight="1" x14ac:dyDescent="0.25">
      <c r="A71" s="699" t="s">
        <v>50</v>
      </c>
      <c r="B71" s="699"/>
      <c r="C71" s="699"/>
      <c r="D71" s="699"/>
      <c r="E71" s="184">
        <f>'BP CORRECTION  '!E63</f>
        <v>262.47000000000003</v>
      </c>
    </row>
    <row r="72" spans="1:5" ht="21" hidden="1" customHeight="1" x14ac:dyDescent="0.25">
      <c r="A72" s="699" t="s">
        <v>51</v>
      </c>
      <c r="B72" s="699"/>
      <c r="C72" s="699"/>
      <c r="D72" s="699"/>
      <c r="E72" s="184">
        <f>'BP CORRECTION  '!E64</f>
        <v>262.47000000000003</v>
      </c>
    </row>
    <row r="73" spans="1:5" ht="21" hidden="1" customHeight="1" x14ac:dyDescent="0.25">
      <c r="A73" s="192"/>
      <c r="B73" s="192"/>
      <c r="C73" s="192"/>
      <c r="D73" s="192"/>
      <c r="E73" s="185"/>
    </row>
    <row r="74" spans="1:5" ht="21" hidden="1" customHeight="1" x14ac:dyDescent="0.25">
      <c r="A74" s="682" t="s">
        <v>5</v>
      </c>
      <c r="B74" s="682"/>
      <c r="C74" s="207">
        <f>E2</f>
        <v>4051.83</v>
      </c>
      <c r="D74" s="192"/>
      <c r="E74" s="185"/>
    </row>
    <row r="75" spans="1:5" ht="25.15" hidden="1" customHeight="1" x14ac:dyDescent="0.25">
      <c r="A75" s="690" t="s">
        <v>335</v>
      </c>
      <c r="B75" s="692"/>
      <c r="C75" s="207">
        <f>'BP CORRECTION  '!J21</f>
        <v>0</v>
      </c>
      <c r="D75" s="192"/>
      <c r="E75" s="185"/>
    </row>
    <row r="76" spans="1:5" ht="25.15" hidden="1" customHeight="1" x14ac:dyDescent="0.25">
      <c r="A76" s="690" t="s">
        <v>338</v>
      </c>
      <c r="B76" s="692"/>
      <c r="C76" s="207">
        <f>'BP CORRECTION  '!J22</f>
        <v>0</v>
      </c>
      <c r="D76" s="192"/>
      <c r="E76" s="185"/>
    </row>
    <row r="77" spans="1:5" ht="25.15" hidden="1" customHeight="1" x14ac:dyDescent="0.25">
      <c r="A77" s="690" t="s">
        <v>339</v>
      </c>
      <c r="B77" s="692"/>
      <c r="C77" s="286">
        <f>'BP CORRECTION  '!J23</f>
        <v>0</v>
      </c>
      <c r="D77" s="192"/>
      <c r="E77" s="185"/>
    </row>
    <row r="78" spans="1:5" ht="25.15" hidden="1" customHeight="1" x14ac:dyDescent="0.25">
      <c r="A78" s="690" t="s">
        <v>334</v>
      </c>
      <c r="B78" s="692"/>
      <c r="C78" s="207">
        <f>'BP CORRECTION  '!J24</f>
        <v>0</v>
      </c>
      <c r="D78" s="192"/>
      <c r="E78" s="185"/>
    </row>
    <row r="79" spans="1:5" ht="21" hidden="1" customHeight="1" x14ac:dyDescent="0.25">
      <c r="A79" s="682" t="s">
        <v>275</v>
      </c>
      <c r="B79" s="682"/>
      <c r="C79" s="207">
        <f>E5</f>
        <v>267.14999999999998</v>
      </c>
      <c r="D79" s="192"/>
      <c r="E79" s="185"/>
    </row>
    <row r="80" spans="1:5" ht="21" hidden="1" customHeight="1" x14ac:dyDescent="0.25">
      <c r="A80" s="682" t="s">
        <v>38</v>
      </c>
      <c r="B80" s="682"/>
      <c r="C80" s="207">
        <f>E6</f>
        <v>0</v>
      </c>
      <c r="D80" s="192"/>
      <c r="E80" s="185"/>
    </row>
    <row r="81" spans="1:14" ht="21" hidden="1" customHeight="1" x14ac:dyDescent="0.25">
      <c r="A81" s="682" t="s">
        <v>0</v>
      </c>
      <c r="B81" s="682"/>
      <c r="C81" s="207">
        <f>'BP CORRECTION  '!J31</f>
        <v>0</v>
      </c>
      <c r="D81" s="192"/>
      <c r="E81" s="185"/>
    </row>
    <row r="82" spans="1:14" ht="21" hidden="1" customHeight="1" x14ac:dyDescent="0.25">
      <c r="A82" s="682" t="s">
        <v>0</v>
      </c>
      <c r="B82" s="682"/>
      <c r="C82" s="207">
        <f>'BP CORRECTION  '!J30</f>
        <v>0</v>
      </c>
      <c r="D82" s="192"/>
      <c r="E82" s="185"/>
    </row>
    <row r="83" spans="1:14" ht="41.45" hidden="1" customHeight="1" x14ac:dyDescent="0.25">
      <c r="A83" s="690" t="s">
        <v>381</v>
      </c>
      <c r="B83" s="692"/>
      <c r="C83" s="207">
        <f>+'BP CORRECTION  '!J32</f>
        <v>0</v>
      </c>
      <c r="D83" s="192"/>
      <c r="E83" s="185"/>
    </row>
    <row r="84" spans="1:14" ht="51.6" hidden="1" customHeight="1" x14ac:dyDescent="0.25">
      <c r="A84" s="690" t="s">
        <v>382</v>
      </c>
      <c r="B84" s="692"/>
      <c r="C84" s="330"/>
      <c r="D84" s="192"/>
      <c r="E84" s="185"/>
    </row>
    <row r="85" spans="1:14" ht="21" hidden="1" customHeight="1" x14ac:dyDescent="0.25">
      <c r="A85" s="682" t="s">
        <v>300</v>
      </c>
      <c r="B85" s="682"/>
      <c r="C85" s="188">
        <f>'BP CORRECTION  '!J33</f>
        <v>0</v>
      </c>
      <c r="D85" s="192"/>
      <c r="E85" s="185"/>
    </row>
    <row r="86" spans="1:14" ht="21" hidden="1" customHeight="1" x14ac:dyDescent="0.25">
      <c r="A86" s="696" t="s">
        <v>277</v>
      </c>
      <c r="B86" s="696"/>
      <c r="C86" s="204">
        <f>'BP CORRECTION  '!J34</f>
        <v>4318.9799999999996</v>
      </c>
      <c r="D86" s="192"/>
      <c r="E86" s="185"/>
    </row>
    <row r="87" spans="1:14" ht="14.45" hidden="1" customHeight="1" x14ac:dyDescent="0.25">
      <c r="A87" s="696" t="s">
        <v>21</v>
      </c>
      <c r="B87" s="696"/>
      <c r="C87" s="188">
        <f>'BP CORRECTION  '!J35</f>
        <v>4318.9799999999996</v>
      </c>
      <c r="D87" s="192"/>
      <c r="E87" s="185"/>
    </row>
    <row r="88" spans="1:14" ht="14.45" customHeight="1" x14ac:dyDescent="0.25">
      <c r="A88" s="282"/>
      <c r="B88" s="282"/>
      <c r="C88" s="283"/>
      <c r="D88" s="192"/>
      <c r="E88" s="185"/>
    </row>
    <row r="89" spans="1:14" ht="33.6" customHeight="1" x14ac:dyDescent="0.25">
      <c r="A89" s="282"/>
      <c r="B89" s="282"/>
      <c r="C89" s="283"/>
      <c r="D89" s="192"/>
      <c r="E89" s="185"/>
    </row>
    <row r="90" spans="1:14" ht="33.6" customHeight="1" x14ac:dyDescent="0.25">
      <c r="A90" s="282"/>
      <c r="B90" s="282"/>
      <c r="C90" s="283"/>
      <c r="D90" s="192"/>
      <c r="E90" s="185"/>
      <c r="G90" s="726" t="s">
        <v>343</v>
      </c>
    </row>
    <row r="91" spans="1:14" ht="33.6" customHeight="1" x14ac:dyDescent="0.25">
      <c r="A91" s="282"/>
      <c r="B91" s="282"/>
      <c r="C91" s="283"/>
      <c r="D91" s="192"/>
      <c r="E91" s="185"/>
      <c r="G91" s="727"/>
    </row>
    <row r="92" spans="1:14" s="5" customFormat="1" ht="33.6" customHeight="1" x14ac:dyDescent="0.25">
      <c r="A92" s="698" t="s">
        <v>332</v>
      </c>
      <c r="B92" s="698"/>
      <c r="C92" s="698"/>
      <c r="D92" s="722"/>
      <c r="E92" s="720" t="s">
        <v>380</v>
      </c>
      <c r="F92" s="720" t="s">
        <v>20</v>
      </c>
      <c r="G92" s="719" t="s">
        <v>2</v>
      </c>
      <c r="H92" s="719" t="s">
        <v>3</v>
      </c>
      <c r="I92" s="720" t="s">
        <v>4</v>
      </c>
      <c r="J92" s="716" t="s">
        <v>17</v>
      </c>
      <c r="K92" s="717" t="s">
        <v>301</v>
      </c>
      <c r="L92" s="717" t="s">
        <v>302</v>
      </c>
      <c r="M92" s="715" t="s">
        <v>50</v>
      </c>
      <c r="N92" s="715" t="s">
        <v>51</v>
      </c>
    </row>
    <row r="93" spans="1:14" s="5" customFormat="1" ht="33.6" customHeight="1" x14ac:dyDescent="0.25">
      <c r="A93" s="698"/>
      <c r="B93" s="698"/>
      <c r="C93" s="698"/>
      <c r="D93" s="722"/>
      <c r="E93" s="720"/>
      <c r="F93" s="720"/>
      <c r="G93" s="719"/>
      <c r="H93" s="719"/>
      <c r="I93" s="720"/>
      <c r="J93" s="716"/>
      <c r="K93" s="717"/>
      <c r="L93" s="717"/>
      <c r="M93" s="715"/>
      <c r="N93" s="715"/>
    </row>
    <row r="94" spans="1:14" s="5" customFormat="1" ht="33.6" customHeight="1" x14ac:dyDescent="0.25">
      <c r="A94" s="698"/>
      <c r="B94" s="698"/>
      <c r="C94" s="698"/>
      <c r="D94" s="722"/>
      <c r="E94" s="720"/>
      <c r="F94" s="720"/>
      <c r="G94" s="719"/>
      <c r="H94" s="719"/>
      <c r="I94" s="720"/>
      <c r="J94" s="716"/>
      <c r="K94" s="717"/>
      <c r="L94" s="717"/>
      <c r="M94" s="715"/>
      <c r="N94" s="715"/>
    </row>
    <row r="95" spans="1:14" s="5" customFormat="1" ht="7.15" customHeight="1" x14ac:dyDescent="0.25">
      <c r="A95" s="723"/>
      <c r="B95" s="723"/>
      <c r="C95" s="723"/>
      <c r="D95" s="724"/>
      <c r="E95" s="720"/>
      <c r="F95" s="720"/>
      <c r="G95" s="719"/>
      <c r="H95" s="719"/>
      <c r="I95" s="720"/>
      <c r="J95" s="716"/>
      <c r="K95" s="717"/>
      <c r="L95" s="717"/>
      <c r="M95" s="715"/>
      <c r="N95" s="715"/>
    </row>
    <row r="96" spans="1:14" s="5" customFormat="1" ht="33.6" customHeight="1" x14ac:dyDescent="0.25">
      <c r="A96" s="682" t="s">
        <v>5</v>
      </c>
      <c r="B96" s="682"/>
      <c r="C96" s="682"/>
      <c r="D96" s="682"/>
      <c r="E96" s="301">
        <f>'BP CORRECTION  '!J11</f>
        <v>4051.83</v>
      </c>
      <c r="F96" s="243">
        <f>+E96</f>
        <v>4051.83</v>
      </c>
      <c r="G96" s="244">
        <f>C74</f>
        <v>4051.83</v>
      </c>
      <c r="H96" s="244">
        <f>C74</f>
        <v>4051.83</v>
      </c>
      <c r="I96" s="301">
        <f>H96</f>
        <v>4051.83</v>
      </c>
      <c r="J96" s="197">
        <f>IF('MASQUE DE SAISIE '!G9&gt;=11,0,E96)</f>
        <v>4051.83</v>
      </c>
      <c r="K96" s="189">
        <f>+E96</f>
        <v>4051.83</v>
      </c>
      <c r="L96" s="189">
        <f>K96</f>
        <v>4051.83</v>
      </c>
      <c r="M96" s="253"/>
      <c r="N96" s="253"/>
    </row>
    <row r="97" spans="1:14" s="5" customFormat="1" ht="33.6" hidden="1" customHeight="1" x14ac:dyDescent="0.25">
      <c r="A97" s="682" t="s">
        <v>314</v>
      </c>
      <c r="B97" s="682"/>
      <c r="C97" s="682"/>
      <c r="D97" s="682"/>
      <c r="E97" s="301">
        <f>'BP CORRECTION  '!J21</f>
        <v>0</v>
      </c>
      <c r="F97" s="243">
        <f>+E97</f>
        <v>0</v>
      </c>
      <c r="G97" s="244">
        <f>F97</f>
        <v>0</v>
      </c>
      <c r="H97" s="244">
        <f>G97</f>
        <v>0</v>
      </c>
      <c r="I97" s="299">
        <f>+E97</f>
        <v>0</v>
      </c>
      <c r="J97" s="197">
        <f>+E97</f>
        <v>0</v>
      </c>
      <c r="K97" s="189">
        <f>+E97</f>
        <v>0</v>
      </c>
      <c r="L97" s="189">
        <f t="shared" ref="L97:L100" si="0">K97</f>
        <v>0</v>
      </c>
      <c r="M97" s="253"/>
      <c r="N97" s="253"/>
    </row>
    <row r="98" spans="1:14" s="5" customFormat="1" ht="33.6" hidden="1" customHeight="1" x14ac:dyDescent="0.25">
      <c r="A98" s="690" t="s">
        <v>338</v>
      </c>
      <c r="B98" s="691"/>
      <c r="C98" s="691"/>
      <c r="D98" s="692"/>
      <c r="E98" s="301">
        <v>0</v>
      </c>
      <c r="F98" s="243">
        <f>+E98</f>
        <v>0</v>
      </c>
      <c r="G98" s="243">
        <f>+E98</f>
        <v>0</v>
      </c>
      <c r="H98" s="243">
        <f t="shared" ref="H98:L98" si="1">+F98</f>
        <v>0</v>
      </c>
      <c r="I98" s="243">
        <f t="shared" si="1"/>
        <v>0</v>
      </c>
      <c r="J98" s="243">
        <f t="shared" si="1"/>
        <v>0</v>
      </c>
      <c r="K98" s="243">
        <f t="shared" si="1"/>
        <v>0</v>
      </c>
      <c r="L98" s="243">
        <f t="shared" si="1"/>
        <v>0</v>
      </c>
      <c r="M98" s="253"/>
      <c r="N98" s="253"/>
    </row>
    <row r="99" spans="1:14" s="5" customFormat="1" ht="33.6" hidden="1" customHeight="1" x14ac:dyDescent="0.25">
      <c r="A99" s="690" t="s">
        <v>337</v>
      </c>
      <c r="B99" s="691"/>
      <c r="C99" s="691"/>
      <c r="D99" s="692"/>
      <c r="E99" s="301">
        <v>0</v>
      </c>
      <c r="F99" s="243">
        <f>'BP CORRECTION  '!K21</f>
        <v>0</v>
      </c>
      <c r="G99" s="243">
        <f>'BP CORRECTION  '!L21</f>
        <v>0</v>
      </c>
      <c r="H99" s="243">
        <f>'BP CORRECTION  '!M21</f>
        <v>0</v>
      </c>
      <c r="I99" s="243">
        <f>'BP CORRECTION  '!N21</f>
        <v>0</v>
      </c>
      <c r="J99" s="243">
        <f>'BP CORRECTION  '!O21</f>
        <v>0</v>
      </c>
      <c r="K99" s="243">
        <f>'BP CORRECTION  '!P21</f>
        <v>0</v>
      </c>
      <c r="L99" s="243">
        <f>'BP CORRECTION  '!Q21</f>
        <v>0</v>
      </c>
      <c r="M99" s="253"/>
      <c r="N99" s="253"/>
    </row>
    <row r="100" spans="1:14" s="5" customFormat="1" ht="33.6" hidden="1" customHeight="1" x14ac:dyDescent="0.25">
      <c r="A100" s="682" t="s">
        <v>334</v>
      </c>
      <c r="B100" s="682"/>
      <c r="C100" s="682"/>
      <c r="D100" s="682"/>
      <c r="E100" s="301">
        <v>0</v>
      </c>
      <c r="F100" s="243">
        <f>+E100</f>
        <v>0</v>
      </c>
      <c r="G100" s="244"/>
      <c r="H100" s="244"/>
      <c r="I100" s="299"/>
      <c r="J100" s="197">
        <f>+E100</f>
        <v>0</v>
      </c>
      <c r="K100" s="189">
        <f>+E100</f>
        <v>0</v>
      </c>
      <c r="L100" s="189">
        <f t="shared" si="0"/>
        <v>0</v>
      </c>
      <c r="M100" s="253"/>
      <c r="N100" s="253"/>
    </row>
    <row r="101" spans="1:14" s="5" customFormat="1" ht="33.6" customHeight="1" x14ac:dyDescent="0.25">
      <c r="A101" s="682" t="s">
        <v>275</v>
      </c>
      <c r="B101" s="682"/>
      <c r="C101" s="682"/>
      <c r="D101" s="682"/>
      <c r="E101" s="301">
        <f>+'BP CORRECTION  '!J19+'BP CORRECTION  '!J18+'BP CORRECTION  '!J20</f>
        <v>267.14999999999998</v>
      </c>
      <c r="F101" s="243">
        <f t="shared" ref="F101:F108" si="2">+E101</f>
        <v>267.14999999999998</v>
      </c>
      <c r="G101" s="244">
        <f>C79</f>
        <v>267.14999999999998</v>
      </c>
      <c r="H101" s="244">
        <f>C79</f>
        <v>267.14999999999998</v>
      </c>
      <c r="I101" s="301">
        <f>H101</f>
        <v>267.14999999999998</v>
      </c>
      <c r="J101" s="197">
        <f t="shared" ref="J101:J108" si="3">+E101</f>
        <v>267.14999999999998</v>
      </c>
      <c r="K101" s="190"/>
      <c r="L101" s="189"/>
      <c r="M101" s="245">
        <f>E101</f>
        <v>267.14999999999998</v>
      </c>
      <c r="N101" s="245">
        <f>M101</f>
        <v>267.14999999999998</v>
      </c>
    </row>
    <row r="102" spans="1:14" s="5" customFormat="1" ht="33.6" hidden="1" customHeight="1" x14ac:dyDescent="0.25">
      <c r="A102" s="682" t="s">
        <v>38</v>
      </c>
      <c r="B102" s="682"/>
      <c r="C102" s="682"/>
      <c r="D102" s="682"/>
      <c r="E102" s="301">
        <f>'BP CORRECTION  '!J29</f>
        <v>0</v>
      </c>
      <c r="F102" s="243">
        <f t="shared" si="2"/>
        <v>0</v>
      </c>
      <c r="G102" s="246"/>
      <c r="H102" s="246"/>
      <c r="I102" s="301"/>
      <c r="J102" s="197">
        <f t="shared" si="3"/>
        <v>0</v>
      </c>
      <c r="K102" s="189">
        <f>+C80</f>
        <v>0</v>
      </c>
      <c r="L102" s="189">
        <f t="shared" ref="L102:L114" si="4">K102</f>
        <v>0</v>
      </c>
      <c r="M102" s="193"/>
      <c r="N102" s="193"/>
    </row>
    <row r="103" spans="1:14" s="5" customFormat="1" ht="33.6" hidden="1" customHeight="1" x14ac:dyDescent="0.25">
      <c r="A103" s="682" t="s">
        <v>0</v>
      </c>
      <c r="B103" s="682"/>
      <c r="C103" s="682"/>
      <c r="D103" s="682"/>
      <c r="E103" s="301"/>
      <c r="F103" s="243">
        <f t="shared" si="2"/>
        <v>0</v>
      </c>
      <c r="G103" s="246"/>
      <c r="H103" s="246"/>
      <c r="I103" s="300"/>
      <c r="J103" s="197">
        <f t="shared" si="3"/>
        <v>0</v>
      </c>
      <c r="K103" s="255"/>
      <c r="L103" s="256"/>
      <c r="M103" s="193"/>
      <c r="N103" s="193"/>
    </row>
    <row r="104" spans="1:14" s="5" customFormat="1" ht="33.6" hidden="1" customHeight="1" x14ac:dyDescent="0.25">
      <c r="A104" s="682" t="s">
        <v>383</v>
      </c>
      <c r="B104" s="682"/>
      <c r="C104" s="682"/>
      <c r="D104" s="682"/>
      <c r="E104" s="301">
        <f>+'BP CORRECTION  '!J30</f>
        <v>0</v>
      </c>
      <c r="F104" s="243">
        <f>C82</f>
        <v>0</v>
      </c>
      <c r="G104" s="244">
        <f>+F104</f>
        <v>0</v>
      </c>
      <c r="H104" s="244">
        <f>+G104</f>
        <v>0</v>
      </c>
      <c r="I104" s="301">
        <f>H104</f>
        <v>0</v>
      </c>
      <c r="J104" s="197">
        <f>F104</f>
        <v>0</v>
      </c>
      <c r="K104" s="189">
        <f>+C82</f>
        <v>0</v>
      </c>
      <c r="L104" s="189">
        <f t="shared" si="4"/>
        <v>0</v>
      </c>
      <c r="M104" s="193"/>
      <c r="N104" s="193"/>
    </row>
    <row r="105" spans="1:14" s="5" customFormat="1" ht="33.6" hidden="1" customHeight="1" x14ac:dyDescent="0.25">
      <c r="A105" s="682" t="s">
        <v>324</v>
      </c>
      <c r="B105" s="682"/>
      <c r="C105" s="682"/>
      <c r="D105" s="682"/>
      <c r="E105" s="301"/>
      <c r="F105" s="331"/>
      <c r="G105" s="246"/>
      <c r="H105" s="244"/>
      <c r="I105" s="300"/>
      <c r="J105" s="197">
        <f t="shared" si="3"/>
        <v>0</v>
      </c>
      <c r="K105" s="714"/>
      <c r="L105" s="714"/>
      <c r="M105" s="193"/>
      <c r="N105" s="193"/>
    </row>
    <row r="106" spans="1:14" s="5" customFormat="1" ht="33.6" hidden="1" customHeight="1" x14ac:dyDescent="0.25">
      <c r="A106" s="682" t="s">
        <v>317</v>
      </c>
      <c r="B106" s="682"/>
      <c r="C106" s="682"/>
      <c r="D106" s="682"/>
      <c r="E106" s="301"/>
      <c r="F106" s="243"/>
      <c r="G106" s="246"/>
      <c r="H106" s="246"/>
      <c r="I106" s="300"/>
      <c r="J106" s="197"/>
      <c r="K106" s="189"/>
      <c r="L106" s="189"/>
      <c r="M106" s="193"/>
      <c r="N106" s="193"/>
    </row>
    <row r="107" spans="1:14" s="5" customFormat="1" ht="33.6" hidden="1" customHeight="1" x14ac:dyDescent="0.25">
      <c r="A107" s="690" t="s">
        <v>379</v>
      </c>
      <c r="B107" s="691"/>
      <c r="C107" s="691"/>
      <c r="D107" s="692"/>
      <c r="E107" s="301"/>
      <c r="F107" s="243"/>
      <c r="G107" s="246"/>
      <c r="H107" s="246"/>
      <c r="I107" s="300"/>
      <c r="J107" s="197"/>
      <c r="K107" s="189"/>
      <c r="L107" s="189"/>
      <c r="M107" s="193"/>
      <c r="N107" s="193"/>
    </row>
    <row r="108" spans="1:14" s="5" customFormat="1" ht="33.6" hidden="1" customHeight="1" x14ac:dyDescent="0.25">
      <c r="A108" s="682" t="s">
        <v>300</v>
      </c>
      <c r="B108" s="682"/>
      <c r="C108" s="682"/>
      <c r="D108" s="682"/>
      <c r="E108" s="301"/>
      <c r="F108" s="243">
        <f t="shared" si="2"/>
        <v>0</v>
      </c>
      <c r="G108" s="246"/>
      <c r="H108" s="246"/>
      <c r="I108" s="301"/>
      <c r="J108" s="197">
        <f t="shared" si="3"/>
        <v>0</v>
      </c>
      <c r="K108" s="189">
        <f>J108</f>
        <v>0</v>
      </c>
      <c r="L108" s="189">
        <f t="shared" si="4"/>
        <v>0</v>
      </c>
      <c r="M108" s="193"/>
      <c r="N108" s="193"/>
    </row>
    <row r="109" spans="1:14" s="5" customFormat="1" ht="33.6" customHeight="1" x14ac:dyDescent="0.25">
      <c r="A109" s="683" t="s">
        <v>311</v>
      </c>
      <c r="B109" s="684"/>
      <c r="C109" s="684"/>
      <c r="D109" s="685"/>
      <c r="E109" s="247">
        <f>SUM(E96:E108)</f>
        <v>4318.9799999999996</v>
      </c>
      <c r="F109" s="247">
        <f>IF(SUM(F96:F108)&gt;'BP CORRECTION  '!C35,'BP CORRECTION  '!C35,(SUM(F96:F108)))</f>
        <v>4005</v>
      </c>
      <c r="G109" s="246"/>
      <c r="H109" s="246"/>
      <c r="I109" s="247">
        <f>SUM(I96:I108)</f>
        <v>4318.9799999999996</v>
      </c>
      <c r="J109" s="197">
        <f>SUM(J96:J108)</f>
        <v>4318.9799999999996</v>
      </c>
      <c r="K109" s="199">
        <f>SUM(K96:K108)</f>
        <v>4051.83</v>
      </c>
      <c r="L109" s="199">
        <f>K109</f>
        <v>4051.83</v>
      </c>
      <c r="M109" s="193"/>
      <c r="N109" s="193"/>
    </row>
    <row r="110" spans="1:14" s="5" customFormat="1" ht="33.6" customHeight="1" x14ac:dyDescent="0.25">
      <c r="A110" s="686" t="s">
        <v>13</v>
      </c>
      <c r="B110" s="686"/>
      <c r="C110" s="686"/>
      <c r="D110" s="686"/>
      <c r="E110" s="247">
        <f>+E109*(1-'MASQUE DE SAISIE '!G16)</f>
        <v>4318.9799999999996</v>
      </c>
      <c r="F110" s="247">
        <f>F109</f>
        <v>4005</v>
      </c>
      <c r="G110" s="248"/>
      <c r="H110" s="186"/>
      <c r="I110" s="176"/>
      <c r="J110" s="197">
        <f>'BP CORRECTION  '!J35</f>
        <v>4318.9799999999996</v>
      </c>
      <c r="K110" s="249"/>
      <c r="L110" s="249"/>
      <c r="M110" s="193"/>
      <c r="N110" s="193"/>
    </row>
    <row r="111" spans="1:14" s="5" customFormat="1" ht="33.6" customHeight="1" x14ac:dyDescent="0.25">
      <c r="A111" s="687" t="s">
        <v>562</v>
      </c>
      <c r="B111" s="687"/>
      <c r="C111" s="687"/>
      <c r="D111" s="687"/>
      <c r="E111" s="687"/>
      <c r="F111" s="687"/>
      <c r="G111" s="687"/>
      <c r="H111" s="687"/>
      <c r="I111" s="318"/>
      <c r="J111" s="197"/>
      <c r="K111" s="200"/>
      <c r="L111" s="199"/>
      <c r="M111" s="193"/>
      <c r="N111" s="193"/>
    </row>
    <row r="112" spans="1:14" s="5" customFormat="1" ht="33.6" customHeight="1" x14ac:dyDescent="0.25">
      <c r="A112" s="688" t="s">
        <v>482</v>
      </c>
      <c r="B112" s="688"/>
      <c r="C112" s="688"/>
      <c r="D112" s="688"/>
      <c r="E112" s="688"/>
      <c r="F112" s="688"/>
      <c r="G112" s="688"/>
      <c r="H112" s="688"/>
      <c r="I112" s="688"/>
      <c r="J112" s="198">
        <f>J110*111.5%</f>
        <v>4815.6626999999999</v>
      </c>
      <c r="K112" s="200"/>
      <c r="L112" s="199"/>
      <c r="M112" s="193"/>
      <c r="N112" s="193"/>
    </row>
    <row r="113" spans="1:14" s="5" customFormat="1" ht="33.6" customHeight="1" x14ac:dyDescent="0.25">
      <c r="A113" s="677" t="s">
        <v>481</v>
      </c>
      <c r="B113" s="677"/>
      <c r="C113" s="677"/>
      <c r="D113" s="677"/>
      <c r="E113" s="677"/>
      <c r="F113" s="677"/>
      <c r="G113" s="677"/>
      <c r="H113" s="677"/>
      <c r="I113" s="677"/>
      <c r="J113" s="677"/>
      <c r="K113" s="201">
        <f>K109*0.9825</f>
        <v>3980.922975</v>
      </c>
      <c r="L113" s="199">
        <f t="shared" si="4"/>
        <v>3980.922975</v>
      </c>
      <c r="M113" s="193"/>
      <c r="N113" s="193"/>
    </row>
    <row r="114" spans="1:14" s="5" customFormat="1" ht="33.6" customHeight="1" x14ac:dyDescent="0.25">
      <c r="A114" s="677" t="s">
        <v>282</v>
      </c>
      <c r="B114" s="677"/>
      <c r="C114" s="677"/>
      <c r="D114" s="677"/>
      <c r="E114" s="677"/>
      <c r="F114" s="677"/>
      <c r="G114" s="677"/>
      <c r="H114" s="677"/>
      <c r="I114" s="677"/>
      <c r="J114" s="677"/>
      <c r="K114" s="202">
        <f>'BP CORRECTION  '!J40</f>
        <v>50</v>
      </c>
      <c r="L114" s="199">
        <f t="shared" si="4"/>
        <v>50</v>
      </c>
      <c r="M114" s="193"/>
      <c r="N114" s="193"/>
    </row>
    <row r="115" spans="1:14" s="5" customFormat="1" ht="33.6" customHeight="1" x14ac:dyDescent="0.25">
      <c r="A115" s="677" t="s">
        <v>419</v>
      </c>
      <c r="B115" s="677"/>
      <c r="C115" s="677"/>
      <c r="D115" s="677"/>
      <c r="E115" s="677"/>
      <c r="F115" s="677"/>
      <c r="G115" s="677"/>
      <c r="H115" s="677"/>
      <c r="I115" s="677"/>
      <c r="J115" s="677"/>
      <c r="K115" s="203">
        <f>O36</f>
        <v>63.6</v>
      </c>
      <c r="L115" s="199">
        <f>K115</f>
        <v>63.6</v>
      </c>
      <c r="M115" s="250"/>
      <c r="N115" s="250"/>
    </row>
    <row r="116" spans="1:14" ht="33.6" customHeight="1" x14ac:dyDescent="0.25">
      <c r="A116" s="678" t="s">
        <v>303</v>
      </c>
      <c r="B116" s="678"/>
      <c r="C116" s="678"/>
      <c r="D116" s="678"/>
      <c r="E116" s="678"/>
      <c r="F116" s="678"/>
      <c r="G116" s="678"/>
      <c r="H116" s="678"/>
      <c r="I116" s="678"/>
      <c r="J116" s="678"/>
      <c r="K116" s="251"/>
      <c r="L116" s="251"/>
      <c r="M116" s="193">
        <f>ROUND((1-1.75%)*M101,2)</f>
        <v>262.47000000000003</v>
      </c>
      <c r="N116" s="252">
        <f>+M116</f>
        <v>262.47000000000003</v>
      </c>
    </row>
    <row r="117" spans="1:14" ht="33.6" customHeight="1" x14ac:dyDescent="0.25">
      <c r="A117" s="194"/>
      <c r="B117" s="194"/>
      <c r="C117" s="194"/>
      <c r="D117" s="194"/>
      <c r="E117" s="247">
        <f>E110</f>
        <v>4318.9799999999996</v>
      </c>
      <c r="F117" s="247">
        <f>+F110</f>
        <v>4005</v>
      </c>
      <c r="G117" s="186">
        <f>SUM(G96:G111)</f>
        <v>4318.9799999999996</v>
      </c>
      <c r="H117" s="186">
        <f>SUM(H96:H111)</f>
        <v>4318.9799999999996</v>
      </c>
      <c r="I117" s="186">
        <f>I109</f>
        <v>4318.9799999999996</v>
      </c>
      <c r="J117" s="254">
        <f>+J112</f>
        <v>4815.6626999999999</v>
      </c>
      <c r="K117" s="191">
        <f>K113+K114+K115</f>
        <v>4094.5229749999999</v>
      </c>
      <c r="L117" s="191">
        <f>K117</f>
        <v>4094.5229749999999</v>
      </c>
      <c r="M117" s="250">
        <f>M116</f>
        <v>262.47000000000003</v>
      </c>
      <c r="N117" s="250">
        <f>N116</f>
        <v>262.47000000000003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79" t="s">
        <v>309</v>
      </c>
      <c r="F120" s="679"/>
      <c r="H120" s="205" t="s">
        <v>309</v>
      </c>
      <c r="L120" s="206" t="s">
        <v>310</v>
      </c>
      <c r="M120" s="205" t="s">
        <v>309</v>
      </c>
    </row>
    <row r="121" spans="1:14" ht="14.45" customHeight="1" x14ac:dyDescent="0.25">
      <c r="D121" s="728" t="s">
        <v>173</v>
      </c>
      <c r="E121" s="728" t="s">
        <v>174</v>
      </c>
      <c r="F121" s="728" t="s">
        <v>175</v>
      </c>
      <c r="G121" s="729" t="s">
        <v>177</v>
      </c>
      <c r="H121" s="661" t="s">
        <v>9</v>
      </c>
      <c r="I121" s="730" t="s">
        <v>11</v>
      </c>
      <c r="J121" s="663" t="s">
        <v>15</v>
      </c>
      <c r="K121" s="659" t="s">
        <v>14</v>
      </c>
      <c r="L121" s="663" t="s">
        <v>16</v>
      </c>
      <c r="M121" s="663" t="s">
        <v>12</v>
      </c>
      <c r="N121" s="725"/>
    </row>
    <row r="122" spans="1:14" x14ac:dyDescent="0.25">
      <c r="D122" s="728"/>
      <c r="E122" s="728"/>
      <c r="F122" s="728"/>
      <c r="G122" s="729"/>
      <c r="H122" s="661"/>
      <c r="I122" s="730"/>
      <c r="J122" s="663"/>
      <c r="K122" s="659"/>
      <c r="L122" s="663"/>
      <c r="M122" s="663"/>
      <c r="N122" s="725"/>
    </row>
    <row r="123" spans="1:14" x14ac:dyDescent="0.25">
      <c r="D123" s="728"/>
      <c r="E123" s="728"/>
      <c r="F123" s="728"/>
      <c r="G123" s="729"/>
      <c r="H123" s="661"/>
      <c r="I123" s="730"/>
      <c r="J123" s="663"/>
      <c r="K123" s="659"/>
      <c r="L123" s="663"/>
      <c r="M123" s="663"/>
      <c r="N123" s="725"/>
    </row>
    <row r="124" spans="1:14" ht="26.45" customHeight="1" x14ac:dyDescent="0.25">
      <c r="D124" s="728"/>
      <c r="E124" s="728"/>
      <c r="F124" s="728"/>
      <c r="G124" s="729"/>
      <c r="H124" s="661"/>
      <c r="I124" s="730"/>
      <c r="J124" s="663"/>
      <c r="K124" s="659"/>
      <c r="L124" s="663"/>
      <c r="M124" s="663"/>
      <c r="N124" s="725"/>
    </row>
    <row r="125" spans="1:14" x14ac:dyDescent="0.25">
      <c r="A125" s="12" t="s">
        <v>5</v>
      </c>
      <c r="C125" s="207">
        <f>C74</f>
        <v>4051.83</v>
      </c>
      <c r="D125" s="195">
        <f>C125</f>
        <v>4051.83</v>
      </c>
      <c r="E125" s="195">
        <f t="shared" ref="E125:F127" si="5">D125</f>
        <v>4051.83</v>
      </c>
      <c r="F125" s="195">
        <f t="shared" si="5"/>
        <v>4051.83</v>
      </c>
      <c r="G125" s="187">
        <f>F125</f>
        <v>4051.83</v>
      </c>
      <c r="H125" s="248"/>
      <c r="I125" s="187">
        <f>+G125</f>
        <v>4051.83</v>
      </c>
      <c r="J125" s="195">
        <f>+I125</f>
        <v>4051.83</v>
      </c>
      <c r="K125" s="238">
        <f>C125</f>
        <v>4051.83</v>
      </c>
      <c r="L125" s="195">
        <f>J125</f>
        <v>4051.83</v>
      </c>
      <c r="M125" s="195">
        <f>J125</f>
        <v>4051.83</v>
      </c>
      <c r="N125" s="404"/>
    </row>
    <row r="126" spans="1:14" hidden="1" x14ac:dyDescent="0.25">
      <c r="A126" s="668" t="s">
        <v>314</v>
      </c>
      <c r="B126" s="669"/>
      <c r="C126" s="207">
        <f>'BP CORRECTION  '!J22+'BP CORRECTION  '!J21</f>
        <v>0</v>
      </c>
      <c r="D126" s="195">
        <f t="shared" ref="D126:D127" si="6">C126</f>
        <v>0</v>
      </c>
      <c r="E126" s="195">
        <f t="shared" si="5"/>
        <v>0</v>
      </c>
      <c r="F126" s="195">
        <f t="shared" si="5"/>
        <v>0</v>
      </c>
      <c r="G126" s="187">
        <f t="shared" ref="G126:G127" si="7">F126</f>
        <v>0</v>
      </c>
      <c r="H126" s="248"/>
      <c r="I126" s="187">
        <f t="shared" ref="I126:I127" si="8">+G126</f>
        <v>0</v>
      </c>
      <c r="J126" s="195">
        <f t="shared" ref="J126:K128" si="9">+I126</f>
        <v>0</v>
      </c>
      <c r="K126" s="238">
        <f t="shared" si="9"/>
        <v>0</v>
      </c>
      <c r="L126" s="195">
        <f t="shared" ref="L126:L127" si="10">K126</f>
        <v>0</v>
      </c>
      <c r="M126" s="195">
        <f t="shared" ref="M126:M127" si="11">K126</f>
        <v>0</v>
      </c>
      <c r="N126" s="404"/>
    </row>
    <row r="127" spans="1:14" hidden="1" x14ac:dyDescent="0.25">
      <c r="A127" s="668" t="s">
        <v>315</v>
      </c>
      <c r="B127" s="669"/>
      <c r="C127" s="207">
        <f>+'BP CORRECTION  '!J23</f>
        <v>0</v>
      </c>
      <c r="D127" s="195">
        <f t="shared" si="6"/>
        <v>0</v>
      </c>
      <c r="E127" s="195">
        <f t="shared" si="5"/>
        <v>0</v>
      </c>
      <c r="F127" s="195">
        <f t="shared" si="5"/>
        <v>0</v>
      </c>
      <c r="G127" s="187">
        <f t="shared" si="7"/>
        <v>0</v>
      </c>
      <c r="H127" s="248"/>
      <c r="I127" s="187">
        <f t="shared" si="8"/>
        <v>0</v>
      </c>
      <c r="J127" s="195">
        <f t="shared" si="9"/>
        <v>0</v>
      </c>
      <c r="K127" s="238">
        <f t="shared" si="9"/>
        <v>0</v>
      </c>
      <c r="L127" s="195">
        <f t="shared" si="10"/>
        <v>0</v>
      </c>
      <c r="M127" s="195">
        <f t="shared" si="11"/>
        <v>0</v>
      </c>
      <c r="N127" s="404"/>
    </row>
    <row r="128" spans="1:14" hidden="1" x14ac:dyDescent="0.25">
      <c r="A128" s="668" t="s">
        <v>334</v>
      </c>
      <c r="B128" s="669"/>
      <c r="C128" s="207">
        <f>+'BP CORRECTION  '!J24</f>
        <v>0</v>
      </c>
      <c r="D128" s="195">
        <f>+C128</f>
        <v>0</v>
      </c>
      <c r="E128" s="195">
        <f t="shared" ref="E128:I128" si="12">+D128</f>
        <v>0</v>
      </c>
      <c r="F128" s="195">
        <f t="shared" si="12"/>
        <v>0</v>
      </c>
      <c r="G128" s="195">
        <f t="shared" si="12"/>
        <v>0</v>
      </c>
      <c r="H128" s="195">
        <f t="shared" si="12"/>
        <v>0</v>
      </c>
      <c r="I128" s="195">
        <f t="shared" si="12"/>
        <v>0</v>
      </c>
      <c r="J128" s="195">
        <f t="shared" si="9"/>
        <v>0</v>
      </c>
      <c r="K128" s="195">
        <f t="shared" si="9"/>
        <v>0</v>
      </c>
      <c r="L128" s="195">
        <f t="shared" ref="L128:M128" si="13">+K128</f>
        <v>0</v>
      </c>
      <c r="M128" s="195">
        <f t="shared" si="13"/>
        <v>0</v>
      </c>
      <c r="N128" s="404"/>
    </row>
    <row r="129" spans="1:14" x14ac:dyDescent="0.25">
      <c r="A129" s="12" t="s">
        <v>43</v>
      </c>
      <c r="C129" s="207">
        <f>C79</f>
        <v>267.14999999999998</v>
      </c>
      <c r="D129" s="195">
        <f t="shared" ref="D129:G135" si="14">C129</f>
        <v>267.14999999999998</v>
      </c>
      <c r="E129" s="195">
        <f t="shared" si="14"/>
        <v>267.14999999999998</v>
      </c>
      <c r="F129" s="195">
        <f t="shared" si="14"/>
        <v>267.14999999999998</v>
      </c>
      <c r="G129" s="187">
        <f t="shared" si="14"/>
        <v>267.14999999999998</v>
      </c>
      <c r="H129" s="248"/>
      <c r="I129" s="187">
        <f t="shared" ref="I129:I135" si="15">+G129</f>
        <v>267.14999999999998</v>
      </c>
      <c r="J129" s="195">
        <f t="shared" ref="J129:K135" si="16">+I129</f>
        <v>267.14999999999998</v>
      </c>
      <c r="K129" s="238">
        <f t="shared" si="16"/>
        <v>267.14999999999998</v>
      </c>
      <c r="L129" s="195">
        <f t="shared" ref="L129:L135" si="17">K129</f>
        <v>267.14999999999998</v>
      </c>
      <c r="M129" s="195">
        <f t="shared" ref="M129:M135" si="18">K129</f>
        <v>267.14999999999998</v>
      </c>
      <c r="N129" s="404"/>
    </row>
    <row r="130" spans="1:14" hidden="1" x14ac:dyDescent="0.25">
      <c r="A130" s="12" t="s">
        <v>171</v>
      </c>
      <c r="C130" s="207">
        <f>C80</f>
        <v>0</v>
      </c>
      <c r="D130" s="195">
        <f t="shared" si="14"/>
        <v>0</v>
      </c>
      <c r="E130" s="195">
        <f t="shared" si="14"/>
        <v>0</v>
      </c>
      <c r="F130" s="195">
        <f t="shared" si="14"/>
        <v>0</v>
      </c>
      <c r="G130" s="187">
        <f t="shared" si="14"/>
        <v>0</v>
      </c>
      <c r="H130" s="248"/>
      <c r="I130" s="187">
        <f t="shared" si="15"/>
        <v>0</v>
      </c>
      <c r="J130" s="195">
        <f t="shared" si="16"/>
        <v>0</v>
      </c>
      <c r="K130" s="238">
        <f t="shared" si="16"/>
        <v>0</v>
      </c>
      <c r="L130" s="195">
        <f t="shared" si="17"/>
        <v>0</v>
      </c>
      <c r="M130" s="195">
        <f t="shared" si="18"/>
        <v>0</v>
      </c>
      <c r="N130" s="404"/>
    </row>
    <row r="131" spans="1:14" hidden="1" x14ac:dyDescent="0.25">
      <c r="A131" s="12" t="s">
        <v>0</v>
      </c>
      <c r="C131" s="207">
        <f>C81</f>
        <v>0</v>
      </c>
      <c r="D131" s="195">
        <f t="shared" si="14"/>
        <v>0</v>
      </c>
      <c r="E131" s="195">
        <f t="shared" si="14"/>
        <v>0</v>
      </c>
      <c r="F131" s="195">
        <f t="shared" si="14"/>
        <v>0</v>
      </c>
      <c r="G131" s="187">
        <f t="shared" si="14"/>
        <v>0</v>
      </c>
      <c r="H131" s="248"/>
      <c r="I131" s="187">
        <f t="shared" si="15"/>
        <v>0</v>
      </c>
      <c r="J131" s="195">
        <f t="shared" si="16"/>
        <v>0</v>
      </c>
      <c r="K131" s="238">
        <f t="shared" si="16"/>
        <v>0</v>
      </c>
      <c r="L131" s="195">
        <f t="shared" si="17"/>
        <v>0</v>
      </c>
      <c r="M131" s="195">
        <f t="shared" si="18"/>
        <v>0</v>
      </c>
      <c r="N131" s="404"/>
    </row>
    <row r="132" spans="1:14" hidden="1" x14ac:dyDescent="0.25">
      <c r="A132" s="12" t="s">
        <v>384</v>
      </c>
      <c r="C132" s="207">
        <f>C82</f>
        <v>0</v>
      </c>
      <c r="D132" s="195">
        <f t="shared" si="14"/>
        <v>0</v>
      </c>
      <c r="E132" s="195">
        <f t="shared" si="14"/>
        <v>0</v>
      </c>
      <c r="F132" s="195">
        <f t="shared" si="14"/>
        <v>0</v>
      </c>
      <c r="G132" s="187">
        <f t="shared" si="14"/>
        <v>0</v>
      </c>
      <c r="H132" s="248"/>
      <c r="I132" s="187">
        <f t="shared" si="15"/>
        <v>0</v>
      </c>
      <c r="J132" s="195">
        <f t="shared" si="16"/>
        <v>0</v>
      </c>
      <c r="K132" s="238">
        <f t="shared" si="16"/>
        <v>0</v>
      </c>
      <c r="L132" s="195">
        <f t="shared" si="17"/>
        <v>0</v>
      </c>
      <c r="M132" s="195">
        <f t="shared" si="18"/>
        <v>0</v>
      </c>
      <c r="N132" s="404"/>
    </row>
    <row r="133" spans="1:14" hidden="1" x14ac:dyDescent="0.25">
      <c r="A133" s="12" t="s">
        <v>318</v>
      </c>
      <c r="C133" s="207">
        <f>'BP CORRECTION  '!J32</f>
        <v>0</v>
      </c>
      <c r="D133" s="195">
        <f t="shared" si="14"/>
        <v>0</v>
      </c>
      <c r="E133" s="195">
        <f t="shared" si="14"/>
        <v>0</v>
      </c>
      <c r="F133" s="195">
        <f t="shared" si="14"/>
        <v>0</v>
      </c>
      <c r="G133" s="187">
        <f t="shared" si="14"/>
        <v>0</v>
      </c>
      <c r="H133" s="248"/>
      <c r="I133" s="187">
        <f t="shared" si="15"/>
        <v>0</v>
      </c>
      <c r="J133" s="195">
        <f t="shared" si="16"/>
        <v>0</v>
      </c>
      <c r="K133" s="238">
        <f t="shared" si="16"/>
        <v>0</v>
      </c>
      <c r="L133" s="195">
        <f t="shared" si="17"/>
        <v>0</v>
      </c>
      <c r="M133" s="195">
        <f t="shared" si="18"/>
        <v>0</v>
      </c>
      <c r="N133" s="404"/>
    </row>
    <row r="134" spans="1:14" hidden="1" x14ac:dyDescent="0.25">
      <c r="A134" s="12" t="s">
        <v>328</v>
      </c>
      <c r="C134" s="207"/>
      <c r="D134" s="195">
        <f t="shared" si="14"/>
        <v>0</v>
      </c>
      <c r="E134" s="195">
        <f t="shared" si="14"/>
        <v>0</v>
      </c>
      <c r="F134" s="195">
        <f t="shared" si="14"/>
        <v>0</v>
      </c>
      <c r="G134" s="187">
        <f t="shared" si="14"/>
        <v>0</v>
      </c>
      <c r="H134" s="248"/>
      <c r="I134" s="187">
        <f t="shared" si="15"/>
        <v>0</v>
      </c>
      <c r="J134" s="195">
        <f t="shared" si="16"/>
        <v>0</v>
      </c>
      <c r="K134" s="238">
        <f t="shared" si="16"/>
        <v>0</v>
      </c>
      <c r="L134" s="195">
        <f t="shared" si="17"/>
        <v>0</v>
      </c>
      <c r="M134" s="195">
        <f t="shared" si="18"/>
        <v>0</v>
      </c>
      <c r="N134" s="404"/>
    </row>
    <row r="135" spans="1:14" hidden="1" x14ac:dyDescent="0.25">
      <c r="A135" s="12" t="s">
        <v>379</v>
      </c>
      <c r="C135" s="207">
        <f>'BP CORRECTION  '!J33</f>
        <v>0</v>
      </c>
      <c r="D135" s="195">
        <f t="shared" si="14"/>
        <v>0</v>
      </c>
      <c r="E135" s="195">
        <f t="shared" si="14"/>
        <v>0</v>
      </c>
      <c r="F135" s="195">
        <f t="shared" si="14"/>
        <v>0</v>
      </c>
      <c r="G135" s="187">
        <f t="shared" si="14"/>
        <v>0</v>
      </c>
      <c r="H135" s="248"/>
      <c r="I135" s="187">
        <f t="shared" si="15"/>
        <v>0</v>
      </c>
      <c r="J135" s="195">
        <f t="shared" si="16"/>
        <v>0</v>
      </c>
      <c r="K135" s="238">
        <f t="shared" si="16"/>
        <v>0</v>
      </c>
      <c r="L135" s="195">
        <f t="shared" si="17"/>
        <v>0</v>
      </c>
      <c r="M135" s="195">
        <f t="shared" si="18"/>
        <v>0</v>
      </c>
      <c r="N135" s="404"/>
    </row>
    <row r="136" spans="1:14" x14ac:dyDescent="0.25">
      <c r="A136" s="12" t="s">
        <v>172</v>
      </c>
      <c r="C136" s="207">
        <f>SUM(C125:C135)</f>
        <v>4318.9799999999996</v>
      </c>
      <c r="D136" s="195">
        <f>SUM(D125:D135)</f>
        <v>4318.9799999999996</v>
      </c>
      <c r="E136" s="195">
        <f>SUM(E125:E135)</f>
        <v>4318.9799999999996</v>
      </c>
      <c r="F136" s="195">
        <f t="shared" ref="F136:G136" si="19">SUM(F125:F135)</f>
        <v>4318.9799999999996</v>
      </c>
      <c r="G136" s="195">
        <f t="shared" si="19"/>
        <v>4318.9799999999996</v>
      </c>
      <c r="H136" s="248"/>
      <c r="I136" s="187">
        <f>SUM(I125:I135)</f>
        <v>4318.9799999999996</v>
      </c>
      <c r="J136" s="187">
        <f t="shared" ref="J136:M136" si="20">SUM(J125:J135)</f>
        <v>4318.9799999999996</v>
      </c>
      <c r="K136" s="187">
        <f t="shared" si="20"/>
        <v>4318.9799999999996</v>
      </c>
      <c r="L136" s="187">
        <f t="shared" si="20"/>
        <v>4318.9799999999996</v>
      </c>
      <c r="M136" s="187">
        <f t="shared" si="20"/>
        <v>4318.9799999999996</v>
      </c>
      <c r="N136" s="404"/>
    </row>
    <row r="137" spans="1:14" x14ac:dyDescent="0.25">
      <c r="A137" s="12" t="s">
        <v>13</v>
      </c>
      <c r="C137" s="207">
        <f>C136*(1-'MASQUE DE SAISIE '!G16)</f>
        <v>4318.9799999999996</v>
      </c>
      <c r="D137" s="195">
        <f>D136*(1-'MASQUE DE SAISIE '!$G$16)</f>
        <v>4318.9799999999996</v>
      </c>
      <c r="E137" s="195">
        <f>E136*(1-'MASQUE DE SAISIE '!$G$16)</f>
        <v>4318.9799999999996</v>
      </c>
      <c r="F137" s="195">
        <f>F136*(1-'MASQUE DE SAISIE '!$G$16)</f>
        <v>4318.9799999999996</v>
      </c>
      <c r="G137" s="195">
        <f>G136*(1-'MASQUE DE SAISIE '!$G$16)</f>
        <v>4318.9799999999996</v>
      </c>
      <c r="H137" s="186"/>
      <c r="I137" s="195">
        <f>I136*(1-'MASQUE DE SAISIE '!$G$16)</f>
        <v>4318.9799999999996</v>
      </c>
      <c r="J137" s="195">
        <f>J136*(1-'MASQUE DE SAISIE '!$G$16)</f>
        <v>4318.9799999999996</v>
      </c>
      <c r="K137" s="195">
        <f>K136*(1-'MASQUE DE SAISIE '!$G$16)</f>
        <v>4318.9799999999996</v>
      </c>
      <c r="L137" s="195">
        <f>L136*(1-'MASQUE DE SAISIE '!$G$16)</f>
        <v>4318.9799999999996</v>
      </c>
      <c r="M137" s="195">
        <f>M136*(1-'MASQUE DE SAISIE '!$G$16)</f>
        <v>4318.9799999999996</v>
      </c>
      <c r="N137" s="404"/>
    </row>
    <row r="138" spans="1:14" x14ac:dyDescent="0.25">
      <c r="C138" s="1"/>
      <c r="D138" s="239"/>
      <c r="E138" s="239"/>
      <c r="F138" s="239"/>
      <c r="G138" s="240"/>
      <c r="H138" s="248"/>
      <c r="I138" s="241"/>
      <c r="J138" s="196"/>
      <c r="K138" s="242"/>
      <c r="L138" s="239"/>
      <c r="M138" s="239"/>
      <c r="N138" s="404"/>
    </row>
    <row r="139" spans="1:14" ht="33" customHeight="1" x14ac:dyDescent="0.25">
      <c r="A139" s="670" t="s">
        <v>304</v>
      </c>
      <c r="B139" s="670"/>
      <c r="C139" s="670"/>
      <c r="D139" s="195">
        <f>ROUND(D137*111.5%,2)</f>
        <v>4815.66</v>
      </c>
      <c r="E139" s="195">
        <f t="shared" ref="E139:J139" si="21">ROUND(E137*111.5%,2)</f>
        <v>4815.66</v>
      </c>
      <c r="F139" s="195">
        <f t="shared" si="21"/>
        <v>4815.66</v>
      </c>
      <c r="G139" s="187"/>
      <c r="H139" s="186"/>
      <c r="I139" s="187"/>
      <c r="J139" s="195">
        <f t="shared" si="21"/>
        <v>4815.66</v>
      </c>
      <c r="K139" s="242"/>
      <c r="L139" s="196">
        <f>ROUND(111.5%*L137,2)</f>
        <v>4815.66</v>
      </c>
      <c r="M139" s="196">
        <f>ROUND(111.5%*M137,2)</f>
        <v>4815.66</v>
      </c>
      <c r="N139" s="367"/>
    </row>
    <row r="140" spans="1:14" ht="33" customHeight="1" x14ac:dyDescent="0.25">
      <c r="A140" s="671" t="s">
        <v>305</v>
      </c>
      <c r="B140" s="672"/>
      <c r="C140" s="672"/>
      <c r="D140" s="672"/>
      <c r="E140" s="672"/>
      <c r="F140" s="672"/>
      <c r="G140" s="187">
        <f>G137</f>
        <v>4318.9799999999996</v>
      </c>
      <c r="H140" s="248"/>
      <c r="I140" s="187">
        <f>G140</f>
        <v>4318.9799999999996</v>
      </c>
      <c r="J140" s="7"/>
      <c r="K140" s="242"/>
      <c r="L140" s="7"/>
      <c r="M140" s="7"/>
    </row>
    <row r="141" spans="1:14" ht="33" customHeight="1" x14ac:dyDescent="0.25">
      <c r="A141" s="673" t="s">
        <v>306</v>
      </c>
      <c r="B141" s="674"/>
      <c r="C141" s="674"/>
      <c r="D141" s="674"/>
      <c r="E141" s="674"/>
      <c r="F141" s="674"/>
      <c r="G141" s="674"/>
      <c r="H141" s="277"/>
      <c r="I141" s="7"/>
      <c r="J141" s="7"/>
      <c r="K141" s="242"/>
      <c r="L141" s="7"/>
      <c r="M141" s="7"/>
    </row>
    <row r="142" spans="1:14" ht="31.9" customHeight="1" x14ac:dyDescent="0.25">
      <c r="A142" s="675" t="s">
        <v>308</v>
      </c>
      <c r="B142" s="675"/>
      <c r="C142" s="675"/>
      <c r="D142" s="242"/>
      <c r="E142" s="242"/>
      <c r="F142" s="242"/>
      <c r="G142" s="242"/>
      <c r="H142" s="242"/>
      <c r="I142" s="242"/>
      <c r="J142" s="242"/>
      <c r="K142" s="242">
        <f>ROUND(K137*120%,2)</f>
        <v>5182.78</v>
      </c>
      <c r="L142" s="7"/>
      <c r="M142" s="7"/>
    </row>
    <row r="143" spans="1:14" hidden="1" x14ac:dyDescent="0.25"/>
    <row r="144" spans="1:14" ht="18.75" x14ac:dyDescent="0.3">
      <c r="A144" s="182" t="s">
        <v>309</v>
      </c>
      <c r="B144" s="6" t="s">
        <v>307</v>
      </c>
      <c r="C144" s="6"/>
    </row>
    <row r="145" spans="1:10" s="15" customFormat="1" ht="18.75" x14ac:dyDescent="0.3">
      <c r="A145" s="182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385</v>
      </c>
      <c r="B146" s="6" t="s">
        <v>386</v>
      </c>
      <c r="D146" s="6"/>
      <c r="E146" s="6"/>
      <c r="F146" s="6"/>
    </row>
    <row r="147" spans="1:10" s="447" customFormat="1" ht="18.75" x14ac:dyDescent="0.3">
      <c r="A147" s="718"/>
      <c r="B147" s="718"/>
      <c r="C147" s="718"/>
      <c r="D147" s="446"/>
      <c r="E147" s="446"/>
      <c r="F147" s="446"/>
    </row>
    <row r="148" spans="1:10" s="447" customFormat="1" ht="18.75" x14ac:dyDescent="0.3">
      <c r="A148" s="448"/>
      <c r="B148" s="446"/>
      <c r="C148" s="446"/>
      <c r="D148" s="446"/>
      <c r="E148" s="446"/>
      <c r="F148" s="446"/>
    </row>
    <row r="149" spans="1:10" s="449" customFormat="1" x14ac:dyDescent="0.25">
      <c r="B149" s="450"/>
    </row>
    <row r="150" spans="1:10" s="449" customFormat="1" x14ac:dyDescent="0.25">
      <c r="B150" s="450"/>
    </row>
    <row r="151" spans="1:10" s="449" customFormat="1" x14ac:dyDescent="0.25">
      <c r="B151" s="450"/>
      <c r="C151" s="450"/>
      <c r="D151" s="450"/>
      <c r="E151" s="450"/>
      <c r="F151" s="450"/>
    </row>
    <row r="152" spans="1:10" s="449" customFormat="1" x14ac:dyDescent="0.25">
      <c r="B152" s="451"/>
      <c r="C152" s="452"/>
      <c r="D152" s="450"/>
      <c r="E152" s="450"/>
      <c r="F152" s="450"/>
    </row>
    <row r="153" spans="1:10" s="449" customFormat="1" x14ac:dyDescent="0.25">
      <c r="B153" s="451"/>
      <c r="C153" s="453"/>
      <c r="D153" s="450"/>
      <c r="E153" s="450"/>
      <c r="F153" s="450"/>
    </row>
    <row r="154" spans="1:10" s="449" customFormat="1" x14ac:dyDescent="0.25">
      <c r="D154" s="450"/>
      <c r="E154" s="450"/>
      <c r="F154" s="450"/>
    </row>
    <row r="155" spans="1:10" s="449" customFormat="1" x14ac:dyDescent="0.25">
      <c r="B155" s="450"/>
      <c r="C155" s="450"/>
      <c r="F155" s="450"/>
    </row>
    <row r="156" spans="1:10" s="449" customFormat="1" x14ac:dyDescent="0.25">
      <c r="D156" s="454"/>
      <c r="J156" s="450"/>
    </row>
    <row r="157" spans="1:10" s="449" customFormat="1" x14ac:dyDescent="0.25">
      <c r="D157" s="455"/>
      <c r="J157" s="450"/>
    </row>
    <row r="158" spans="1:10" s="449" customFormat="1" x14ac:dyDescent="0.25">
      <c r="D158" s="456"/>
    </row>
    <row r="159" spans="1:10" s="449" customFormat="1" x14ac:dyDescent="0.25">
      <c r="D159" s="454"/>
    </row>
    <row r="160" spans="1:10" s="449" customFormat="1" x14ac:dyDescent="0.25">
      <c r="D160" s="457"/>
    </row>
    <row r="161" spans="1:15" s="449" customFormat="1" x14ac:dyDescent="0.25">
      <c r="D161" s="455"/>
    </row>
    <row r="162" spans="1:15" x14ac:dyDescent="0.25">
      <c r="D162" s="278"/>
    </row>
    <row r="163" spans="1:15" ht="25.9" customHeight="1" x14ac:dyDescent="0.25"/>
    <row r="164" spans="1:15" ht="25.9" customHeight="1" x14ac:dyDescent="0.25">
      <c r="F164" s="733" t="s">
        <v>352</v>
      </c>
    </row>
    <row r="165" spans="1:15" ht="25.9" customHeight="1" x14ac:dyDescent="0.25">
      <c r="F165" s="733"/>
    </row>
    <row r="166" spans="1:15" ht="25.9" customHeight="1" x14ac:dyDescent="0.25">
      <c r="F166" s="733"/>
    </row>
    <row r="167" spans="1:15" ht="25.9" customHeight="1" x14ac:dyDescent="0.25">
      <c r="F167" s="733"/>
    </row>
    <row r="168" spans="1:15" ht="25.9" customHeight="1" x14ac:dyDescent="0.25">
      <c r="F168" s="733"/>
    </row>
    <row r="169" spans="1:15" ht="25.9" customHeight="1" x14ac:dyDescent="0.25">
      <c r="A169" s="657" t="s">
        <v>333</v>
      </c>
      <c r="B169" s="657"/>
      <c r="C169" s="657"/>
      <c r="D169" s="659" t="s">
        <v>42</v>
      </c>
      <c r="E169" s="719" t="s">
        <v>40</v>
      </c>
      <c r="F169" s="661" t="s">
        <v>41</v>
      </c>
      <c r="G169" s="663" t="s">
        <v>18</v>
      </c>
    </row>
    <row r="170" spans="1:15" ht="25.9" customHeight="1" x14ac:dyDescent="0.25">
      <c r="A170" s="657"/>
      <c r="B170" s="657"/>
      <c r="C170" s="657"/>
      <c r="D170" s="659"/>
      <c r="E170" s="719"/>
      <c r="F170" s="661"/>
      <c r="G170" s="663"/>
    </row>
    <row r="171" spans="1:15" ht="25.9" customHeight="1" x14ac:dyDescent="0.25">
      <c r="A171" s="657"/>
      <c r="B171" s="657"/>
      <c r="C171" s="657"/>
      <c r="D171" s="659"/>
      <c r="E171" s="719"/>
      <c r="F171" s="661"/>
      <c r="G171" s="663"/>
    </row>
    <row r="172" spans="1:15" ht="25.9" customHeight="1" x14ac:dyDescent="0.25">
      <c r="A172" s="665"/>
      <c r="B172" s="665"/>
      <c r="C172" s="665"/>
      <c r="D172" s="659"/>
      <c r="E172" s="719"/>
      <c r="F172" s="662"/>
      <c r="G172" s="664"/>
    </row>
    <row r="173" spans="1:15" ht="25.9" customHeight="1" x14ac:dyDescent="0.25">
      <c r="A173" s="649" t="s">
        <v>5</v>
      </c>
      <c r="B173" s="649"/>
      <c r="C173" s="207">
        <f>+C125</f>
        <v>4051.83</v>
      </c>
      <c r="D173" s="285">
        <f>C173</f>
        <v>4051.83</v>
      </c>
      <c r="E173" s="285">
        <f>D173</f>
        <v>4051.83</v>
      </c>
      <c r="F173" s="285">
        <f>E173</f>
        <v>4051.83</v>
      </c>
      <c r="G173" s="285">
        <f>F173</f>
        <v>4051.83</v>
      </c>
    </row>
    <row r="174" spans="1:15" ht="25.9" hidden="1" customHeight="1" x14ac:dyDescent="0.25">
      <c r="A174" s="649" t="s">
        <v>314</v>
      </c>
      <c r="B174" s="649"/>
      <c r="C174" s="207">
        <f>+C126</f>
        <v>0</v>
      </c>
      <c r="D174" s="285">
        <f t="shared" ref="D174:G183" si="22">C174</f>
        <v>0</v>
      </c>
      <c r="E174" s="285">
        <f t="shared" si="22"/>
        <v>0</v>
      </c>
      <c r="F174" s="285">
        <f t="shared" si="22"/>
        <v>0</v>
      </c>
      <c r="G174" s="285">
        <f t="shared" si="22"/>
        <v>0</v>
      </c>
    </row>
    <row r="175" spans="1:15" ht="25.9" hidden="1" customHeight="1" x14ac:dyDescent="0.25">
      <c r="A175" s="653" t="s">
        <v>340</v>
      </c>
      <c r="B175" s="654"/>
      <c r="C175" s="207">
        <f>'BP CORRECTION  '!J24</f>
        <v>0</v>
      </c>
      <c r="D175" s="285">
        <f>C175</f>
        <v>0</v>
      </c>
      <c r="E175" s="290"/>
      <c r="F175" s="290"/>
      <c r="G175" s="290"/>
      <c r="H175" s="666" t="s">
        <v>341</v>
      </c>
      <c r="I175" s="667"/>
      <c r="J175" s="667"/>
      <c r="K175" s="667"/>
      <c r="L175" s="667"/>
      <c r="M175" s="667"/>
      <c r="N175" s="667"/>
      <c r="O175" s="667"/>
    </row>
    <row r="176" spans="1:15" ht="25.9" customHeight="1" x14ac:dyDescent="0.25">
      <c r="A176" s="649" t="s">
        <v>315</v>
      </c>
      <c r="B176" s="649"/>
      <c r="C176" s="207">
        <f>+C127</f>
        <v>0</v>
      </c>
      <c r="D176" s="285">
        <f t="shared" si="22"/>
        <v>0</v>
      </c>
      <c r="E176" s="285">
        <f t="shared" si="22"/>
        <v>0</v>
      </c>
      <c r="F176" s="285">
        <f t="shared" si="22"/>
        <v>0</v>
      </c>
      <c r="G176" s="285">
        <f t="shared" si="22"/>
        <v>0</v>
      </c>
    </row>
    <row r="177" spans="1:10" ht="25.9" customHeight="1" x14ac:dyDescent="0.25">
      <c r="A177" s="649" t="s">
        <v>43</v>
      </c>
      <c r="B177" s="649"/>
      <c r="C177" s="207">
        <f>+C129</f>
        <v>267.14999999999998</v>
      </c>
      <c r="D177" s="285">
        <f t="shared" si="22"/>
        <v>267.14999999999998</v>
      </c>
      <c r="E177" s="285">
        <f t="shared" si="22"/>
        <v>267.14999999999998</v>
      </c>
      <c r="F177" s="285">
        <f t="shared" si="22"/>
        <v>267.14999999999998</v>
      </c>
      <c r="G177" s="285">
        <f t="shared" si="22"/>
        <v>267.14999999999998</v>
      </c>
    </row>
    <row r="178" spans="1:10" ht="25.9" hidden="1" customHeight="1" x14ac:dyDescent="0.25">
      <c r="A178" s="649" t="s">
        <v>171</v>
      </c>
      <c r="B178" s="649"/>
      <c r="C178" s="207">
        <f>+C130</f>
        <v>0</v>
      </c>
      <c r="D178" s="285">
        <f t="shared" si="22"/>
        <v>0</v>
      </c>
      <c r="E178" s="332"/>
      <c r="F178" s="335"/>
      <c r="G178" s="332"/>
    </row>
    <row r="179" spans="1:10" ht="25.9" hidden="1" customHeight="1" x14ac:dyDescent="0.25">
      <c r="A179" s="649" t="s">
        <v>0</v>
      </c>
      <c r="B179" s="649"/>
      <c r="C179" s="207">
        <f>+C131</f>
        <v>0</v>
      </c>
      <c r="D179" s="285">
        <f t="shared" si="22"/>
        <v>0</v>
      </c>
      <c r="E179" s="332"/>
      <c r="F179" s="335"/>
      <c r="G179" s="332"/>
    </row>
    <row r="180" spans="1:10" ht="25.9" hidden="1" customHeight="1" x14ac:dyDescent="0.25">
      <c r="A180" s="649" t="s">
        <v>0</v>
      </c>
      <c r="B180" s="649"/>
      <c r="C180" s="207">
        <f>+C132</f>
        <v>0</v>
      </c>
      <c r="D180" s="285">
        <f t="shared" si="22"/>
        <v>0</v>
      </c>
      <c r="E180" s="332"/>
      <c r="F180" s="335"/>
      <c r="G180" s="332"/>
    </row>
    <row r="181" spans="1:10" ht="25.9" hidden="1" customHeight="1" x14ac:dyDescent="0.25">
      <c r="A181" s="649" t="s">
        <v>318</v>
      </c>
      <c r="B181" s="649"/>
      <c r="C181" s="207">
        <f>+C133</f>
        <v>0</v>
      </c>
      <c r="D181" s="285">
        <f t="shared" si="22"/>
        <v>0</v>
      </c>
      <c r="E181" s="332"/>
      <c r="F181" s="335"/>
      <c r="G181" s="335"/>
    </row>
    <row r="182" spans="1:10" ht="25.9" hidden="1" customHeight="1" x14ac:dyDescent="0.25">
      <c r="A182" s="653" t="s">
        <v>328</v>
      </c>
      <c r="B182" s="654"/>
      <c r="C182" s="207"/>
      <c r="D182" s="285"/>
      <c r="E182" s="285"/>
      <c r="F182" s="286"/>
      <c r="G182" s="286"/>
    </row>
    <row r="183" spans="1:10" ht="25.9" hidden="1" customHeight="1" x14ac:dyDescent="0.25">
      <c r="A183" s="649" t="s">
        <v>406</v>
      </c>
      <c r="B183" s="649"/>
      <c r="C183" s="207">
        <f>+C135</f>
        <v>0</v>
      </c>
      <c r="D183" s="285">
        <f t="shared" si="22"/>
        <v>0</v>
      </c>
      <c r="E183" s="332"/>
      <c r="F183" s="335"/>
      <c r="G183" s="335"/>
    </row>
    <row r="184" spans="1:10" ht="25.9" customHeight="1" x14ac:dyDescent="0.25">
      <c r="A184" s="649" t="s">
        <v>172</v>
      </c>
      <c r="B184" s="649"/>
      <c r="C184" s="207">
        <f>+C136</f>
        <v>4318.9799999999996</v>
      </c>
      <c r="D184" s="285">
        <f>SUM(D173:D183)</f>
        <v>4318.9799999999996</v>
      </c>
      <c r="E184" s="287">
        <f>SUM(E173:E183)</f>
        <v>4318.9799999999996</v>
      </c>
      <c r="F184" s="287">
        <f>SUM(F173:F183)</f>
        <v>4318.9799999999996</v>
      </c>
      <c r="G184" s="302">
        <f>SUM(G173:G183)</f>
        <v>4318.9799999999996</v>
      </c>
    </row>
    <row r="185" spans="1:10" ht="25.9" customHeight="1" x14ac:dyDescent="0.25">
      <c r="A185" s="649" t="s">
        <v>13</v>
      </c>
      <c r="B185" s="649"/>
      <c r="C185" s="279">
        <f>C184*(1-'MASQUE DE SAISIE '!G16)</f>
        <v>4318.9799999999996</v>
      </c>
      <c r="D185" s="287">
        <f>D184*(1-'MASQUE DE SAISIE '!$G$16)</f>
        <v>4318.9799999999996</v>
      </c>
      <c r="E185" s="285"/>
      <c r="F185" s="285"/>
      <c r="G185" s="285"/>
    </row>
    <row r="186" spans="1:10" ht="25.9" customHeight="1" x14ac:dyDescent="0.25">
      <c r="G186" s="363">
        <f>G184+13.14%*G184</f>
        <v>4886.4939719999993</v>
      </c>
      <c r="H186" s="732" t="s">
        <v>393</v>
      </c>
      <c r="I186" s="732"/>
      <c r="J186" s="732"/>
    </row>
    <row r="187" spans="1:10" ht="25.9" customHeight="1" x14ac:dyDescent="0.25"/>
    <row r="188" spans="1:10" ht="25.15" customHeight="1" x14ac:dyDescent="0.25">
      <c r="B188" s="650" t="s">
        <v>351</v>
      </c>
      <c r="C188" s="650"/>
      <c r="D188" s="650"/>
      <c r="E188" s="650"/>
      <c r="F188" s="650"/>
      <c r="G188" s="650"/>
    </row>
    <row r="190" spans="1:10" s="6" customFormat="1" ht="36" customHeight="1" x14ac:dyDescent="0.25">
      <c r="D190" s="541" t="s">
        <v>344</v>
      </c>
      <c r="E190" s="541"/>
      <c r="F190" s="541"/>
      <c r="G190" s="541"/>
    </row>
    <row r="191" spans="1:10" s="6" customFormat="1" ht="15.75" x14ac:dyDescent="0.25">
      <c r="B191" s="541" t="s">
        <v>345</v>
      </c>
      <c r="C191" s="541"/>
      <c r="D191" s="91">
        <v>75</v>
      </c>
      <c r="E191" s="651" t="s">
        <v>346</v>
      </c>
      <c r="F191" s="91">
        <v>4</v>
      </c>
      <c r="G191" s="652" t="s">
        <v>347</v>
      </c>
    </row>
    <row r="192" spans="1:10" s="6" customFormat="1" ht="15.75" x14ac:dyDescent="0.25">
      <c r="B192" s="541"/>
      <c r="C192" s="541"/>
      <c r="D192" s="91">
        <v>78</v>
      </c>
      <c r="E192" s="652"/>
      <c r="F192" s="91">
        <v>5</v>
      </c>
      <c r="G192" s="652"/>
    </row>
    <row r="193" spans="2:7" s="6" customFormat="1" ht="15.75" x14ac:dyDescent="0.25">
      <c r="B193" s="541"/>
      <c r="C193" s="541"/>
      <c r="D193" s="91">
        <v>91</v>
      </c>
      <c r="E193" s="652"/>
      <c r="F193" s="91">
        <v>6</v>
      </c>
      <c r="G193" s="652"/>
    </row>
    <row r="194" spans="2:7" s="6" customFormat="1" ht="15.75" x14ac:dyDescent="0.25">
      <c r="B194" s="541"/>
      <c r="C194" s="541"/>
      <c r="D194" s="91">
        <v>92</v>
      </c>
      <c r="E194" s="652"/>
      <c r="F194" s="91">
        <v>13</v>
      </c>
      <c r="G194" s="652"/>
    </row>
    <row r="195" spans="2:7" s="6" customFormat="1" ht="15.75" x14ac:dyDescent="0.25">
      <c r="B195" s="541"/>
      <c r="C195" s="541"/>
      <c r="D195" s="91">
        <v>93</v>
      </c>
      <c r="E195" s="652"/>
      <c r="F195" s="91">
        <v>83</v>
      </c>
      <c r="G195" s="652"/>
    </row>
    <row r="196" spans="2:7" s="6" customFormat="1" ht="15.75" x14ac:dyDescent="0.25">
      <c r="B196" s="541"/>
      <c r="C196" s="541"/>
      <c r="D196" s="91">
        <v>95</v>
      </c>
      <c r="E196" s="652"/>
      <c r="F196" s="91">
        <v>84</v>
      </c>
      <c r="G196" s="652"/>
    </row>
    <row r="197" spans="2:7" s="6" customFormat="1" ht="15.75" x14ac:dyDescent="0.25">
      <c r="B197" s="541"/>
      <c r="C197" s="541"/>
      <c r="D197" s="91">
        <v>95</v>
      </c>
      <c r="E197" s="652"/>
      <c r="F197" s="91">
        <v>42</v>
      </c>
      <c r="G197" s="338" t="s">
        <v>348</v>
      </c>
    </row>
    <row r="198" spans="2:7" s="6" customFormat="1" ht="15.75" x14ac:dyDescent="0.25">
      <c r="B198" s="541"/>
      <c r="C198" s="541"/>
      <c r="D198" s="541" t="s">
        <v>349</v>
      </c>
      <c r="E198" s="541"/>
      <c r="F198" s="134"/>
      <c r="G198" s="134"/>
    </row>
    <row r="199" spans="2:7" s="6" customFormat="1" ht="15.75" x14ac:dyDescent="0.25">
      <c r="B199" s="541"/>
      <c r="C199" s="541"/>
      <c r="D199" s="310">
        <v>77</v>
      </c>
      <c r="E199" s="333" t="s">
        <v>350</v>
      </c>
      <c r="F199" s="134"/>
      <c r="G199" s="134"/>
    </row>
    <row r="203" spans="2:7" x14ac:dyDescent="0.25">
      <c r="B203" t="s">
        <v>377</v>
      </c>
    </row>
    <row r="220" spans="2:2" x14ac:dyDescent="0.25">
      <c r="B220" t="s">
        <v>400</v>
      </c>
    </row>
    <row r="231" spans="2:8" ht="34.5" customHeight="1" x14ac:dyDescent="0.25">
      <c r="B231" s="731" t="s">
        <v>537</v>
      </c>
      <c r="C231" s="731"/>
      <c r="D231" s="731"/>
      <c r="E231" s="731"/>
      <c r="F231" s="731"/>
      <c r="G231" s="731"/>
      <c r="H231" s="731"/>
    </row>
    <row r="234" spans="2:8" x14ac:dyDescent="0.25">
      <c r="B234" t="s">
        <v>402</v>
      </c>
    </row>
    <row r="235" spans="2:8" x14ac:dyDescent="0.25">
      <c r="C235" t="s">
        <v>403</v>
      </c>
      <c r="F235" s="347">
        <v>45778</v>
      </c>
    </row>
    <row r="236" spans="2:8" x14ac:dyDescent="0.25">
      <c r="C236" t="s">
        <v>404</v>
      </c>
      <c r="F236" s="348">
        <f>IF('MASQUE DE SAISIE '!G9&lt;20,1.5,0.5)</f>
        <v>1.5</v>
      </c>
    </row>
    <row r="237" spans="2:8" x14ac:dyDescent="0.25">
      <c r="C237" t="s">
        <v>401</v>
      </c>
      <c r="F237" s="349">
        <f>'BP CORRECTION  '!G18+'BP CORRECTION  '!G19+'BP CORRECTION  '!G20</f>
        <v>8</v>
      </c>
    </row>
    <row r="238" spans="2:8" x14ac:dyDescent="0.25">
      <c r="C238" t="s">
        <v>405</v>
      </c>
      <c r="F238" s="349">
        <f>F236*F237</f>
        <v>12</v>
      </c>
    </row>
  </sheetData>
  <mergeCells count="118"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C3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4" t="s">
        <v>289</v>
      </c>
      <c r="C1" s="734"/>
      <c r="D1" s="734"/>
      <c r="E1" s="734"/>
      <c r="F1" s="734"/>
      <c r="G1" s="734"/>
      <c r="H1" s="734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59">
        <v>45778</v>
      </c>
    </row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G6" s="6" t="s">
        <v>293</v>
      </c>
      <c r="K6" s="160"/>
    </row>
    <row r="7" spans="2:11" ht="14.25" customHeight="1" x14ac:dyDescent="0.25">
      <c r="B7" s="161">
        <v>0</v>
      </c>
      <c r="C7" s="161">
        <f>IF('BP CORRECTION  '!H9&lt;$K$5,'TAUX NEUTRE  JANVIER '!C7,'TAUX NEUTRE MAI '!C7)</f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1620</v>
      </c>
      <c r="C8" s="161">
        <f>IF('BP CORRECTION  '!$H$9&lt;$K$5,'TAUX NEUTRE  JANVIER '!C8,'TAUX NEUTRE MAI '!C8)</f>
        <v>1683</v>
      </c>
      <c r="D8" s="99">
        <f>IF('BP CORRECTION  '!$H$9&gt;='TAUX NEUTRE '!$K$5,'TAUX NEUTRE MAI '!D8,'TAUX NEUTRE  JANVIER '!D8)</f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1683</v>
      </c>
      <c r="C9" s="161">
        <f>IF('BP CORRECTION  '!$H$9&lt;$K$5,'TAUX NEUTRE  JANVIER '!C9,'TAUX NEUTRE MAI '!C9)</f>
        <v>1791</v>
      </c>
      <c r="D9" s="99">
        <f>IF('BP CORRECTION  '!$H$9&gt;='TAUX NEUTRE '!$K$5,'TAUX NEUTRE MAI '!D9,'TAUX NEUTRE  JANVIER '!D9)</f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1791</v>
      </c>
      <c r="C10" s="161">
        <f>IF('BP CORRECTION  '!$H$9&lt;$K$5,'TAUX NEUTRE  JANVIER '!C10,'TAUX NEUTRE MAI '!C10)</f>
        <v>1911</v>
      </c>
      <c r="D10" s="99">
        <f>IF('BP CORRECTION  '!$H$9&gt;='TAUX NEUTRE '!$K$5,'TAUX NEUTRE MAI '!D10,'TAUX NEUTRE  JANVIER '!D10)</f>
        <v>2.1000000000000001E-2</v>
      </c>
      <c r="E10" s="99">
        <f t="shared" si="0"/>
        <v>0</v>
      </c>
      <c r="G10" s="735" t="s">
        <v>294</v>
      </c>
      <c r="H10" s="735"/>
    </row>
    <row r="11" spans="2:11" ht="14.25" customHeight="1" x14ac:dyDescent="0.25">
      <c r="B11" s="161">
        <f t="shared" si="1"/>
        <v>1911</v>
      </c>
      <c r="C11" s="161">
        <f>IF('BP CORRECTION  '!$H$9&lt;$K$5,'TAUX NEUTRE  JANVIER '!C11,'TAUX NEUTRE MAI '!C11)</f>
        <v>2042</v>
      </c>
      <c r="D11" s="99">
        <f>IF('BP CORRECTION  '!$H$9&gt;='TAUX NEUTRE '!$K$5,'TAUX NEUTRE MAI '!D11,'TAUX NEUTRE  JANVIER '!D11)</f>
        <v>2.9000000000000001E-2</v>
      </c>
      <c r="E11" s="99">
        <f t="shared" si="0"/>
        <v>0</v>
      </c>
      <c r="G11" s="139" t="s">
        <v>295</v>
      </c>
      <c r="H11" s="163">
        <f>'BP CORRECTION  '!E79</f>
        <v>3313.4327759999996</v>
      </c>
    </row>
    <row r="12" spans="2:11" ht="14.25" customHeight="1" x14ac:dyDescent="0.25">
      <c r="B12" s="161">
        <f t="shared" si="1"/>
        <v>2042</v>
      </c>
      <c r="C12" s="161">
        <f>IF('BP CORRECTION  '!$H$9&lt;$K$5,'TAUX NEUTRE  JANVIER '!C12,'TAUX NEUTRE MAI '!C12)</f>
        <v>2151</v>
      </c>
      <c r="D12" s="99">
        <f>IF('BP CORRECTION  '!$H$9&gt;='TAUX NEUTRE '!$K$5,'TAUX NEUTRE MAI '!D12,'TAUX NEUTRE  JANVIER '!D12)</f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2151</v>
      </c>
      <c r="C13" s="161">
        <f>IF('BP CORRECTION  '!$H$9&lt;$K$5,'TAUX NEUTRE  JANVIER '!C13,'TAUX NEUTRE MAI '!C13)</f>
        <v>2294</v>
      </c>
      <c r="D13" s="99">
        <f>IF('BP CORRECTION  '!$H$9&gt;='TAUX NEUTRE '!$K$5,'TAUX NEUTRE MAI '!D13,'TAUX NEUTRE  JANVIER '!D13)</f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2294</v>
      </c>
      <c r="C14" s="161">
        <f>IF('BP CORRECTION  '!$H$9&lt;$K$5,'TAUX NEUTRE  JANVIER '!C14,'TAUX NEUTRE MAI '!C14)</f>
        <v>2714</v>
      </c>
      <c r="D14" s="99">
        <f>IF('BP CORRECTION  '!$H$9&gt;='TAUX NEUTRE '!$K$5,'TAUX NEUTRE MAI '!D14,'TAUX NEUTRE  JANVIER '!D14)</f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2714</v>
      </c>
      <c r="C15" s="161">
        <f>IF('BP CORRECTION  '!$H$9&lt;$K$5,'TAUX NEUTRE  JANVIER '!C15,'TAUX NEUTRE MAI '!C15)</f>
        <v>3107</v>
      </c>
      <c r="D15" s="99">
        <f>IF('BP CORRECTION  '!$H$9&gt;='TAUX NEUTRE '!$K$5,'TAUX NEUTRE MAI '!D15,'TAUX NEUTRE  JANVIER '!D15)</f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3107</v>
      </c>
      <c r="C16" s="161">
        <f>IF('BP CORRECTION  '!$H$9&lt;$K$5,'TAUX NEUTRE  JANVIER '!C16,'TAUX NEUTRE MAI '!C16)</f>
        <v>3539</v>
      </c>
      <c r="D16" s="99">
        <f>IF('BP CORRECTION  '!$H$9&gt;='TAUX NEUTRE '!$K$5,'TAUX NEUTRE MAI '!D16,'TAUX NEUTRE  JANVIER '!D16)</f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3539</v>
      </c>
      <c r="C17" s="161">
        <f>IF('BP CORRECTION  '!$H$9&lt;$K$5,'TAUX NEUTRE  JANVIER '!C17,'TAUX NEUTRE MAI '!C17)</f>
        <v>3983</v>
      </c>
      <c r="D17" s="99">
        <f>IF('BP CORRECTION  '!$H$9&gt;='TAUX NEUTRE '!$K$5,'TAUX NEUTRE MAI '!D17,'TAUX NEUTRE  JANVIER '!D17)</f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3983</v>
      </c>
      <c r="C18" s="161">
        <f>IF('BP CORRECTION  '!$H$9&lt;$K$5,'TAUX NEUTRE  JANVIER '!C18,'TAUX NEUTRE MAI '!C18)</f>
        <v>4648</v>
      </c>
      <c r="D18" s="99">
        <f>IF('BP CORRECTION  '!$H$9&gt;='TAUX NEUTRE '!$K$5,'TAUX NEUTRE MAI '!D18,'TAUX NEUTRE  JANVIER '!D18)</f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4648</v>
      </c>
      <c r="C19" s="161">
        <f>IF('BP CORRECTION  '!$H$9&lt;$K$5,'TAUX NEUTRE  JANVIER '!C19,'TAUX NEUTRE MAI '!C19)</f>
        <v>5574</v>
      </c>
      <c r="D19" s="99">
        <f>IF('BP CORRECTION  '!$H$9&gt;='TAUX NEUTRE '!$K$5,'TAUX NEUTRE MAI '!D19,'TAUX NEUTRE  JANVIER '!D19)</f>
        <v>0.158</v>
      </c>
      <c r="E19" s="99">
        <f t="shared" si="0"/>
        <v>0</v>
      </c>
    </row>
    <row r="20" spans="2:11" ht="14.25" customHeight="1" x14ac:dyDescent="0.25">
      <c r="B20" s="161">
        <f t="shared" si="1"/>
        <v>5574</v>
      </c>
      <c r="C20" s="161">
        <f>IF('BP CORRECTION  '!$H$9&lt;$K$5,'TAUX NEUTRE  JANVIER '!C20,'TAUX NEUTRE MAI '!C20)</f>
        <v>6974</v>
      </c>
      <c r="D20" s="99">
        <f>IF('BP CORRECTION  '!$H$9&gt;='TAUX NEUTRE '!$K$5,'TAUX NEUTRE MAI '!D20,'TAUX NEUTRE  JANVIER '!D20)</f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6974</v>
      </c>
      <c r="C21" s="161">
        <f>IF('BP CORRECTION  '!$H$9&lt;$K$5,'TAUX NEUTRE  JANVIER '!C21,'TAUX NEUTRE MAI '!C21)</f>
        <v>8711</v>
      </c>
      <c r="D21" s="99">
        <f>IF('BP CORRECTION  '!$H$9&gt;='TAUX NEUTRE '!$K$5,'TAUX NEUTRE MAI '!D21,'TAUX NEUTRE  JANVIER '!D21)</f>
        <v>0.2</v>
      </c>
      <c r="E21" s="99">
        <f t="shared" si="0"/>
        <v>0</v>
      </c>
    </row>
    <row r="22" spans="2:11" ht="14.25" customHeight="1" x14ac:dyDescent="0.25">
      <c r="B22" s="161">
        <f t="shared" si="1"/>
        <v>8711</v>
      </c>
      <c r="C22" s="161">
        <f>IF('BP CORRECTION  '!$H$9&lt;$K$5,'TAUX NEUTRE  JANVIER '!C22,'TAUX NEUTRE MAI '!C22)</f>
        <v>12091</v>
      </c>
      <c r="D22" s="99">
        <f>IF('BP CORRECTION  '!$H$9&gt;='TAUX NEUTRE '!$K$5,'TAUX NEUTRE MAI '!D22,'TAUX NEUTRE  JANVIER '!D22)</f>
        <v>0.24</v>
      </c>
      <c r="E22" s="99">
        <f t="shared" si="0"/>
        <v>0</v>
      </c>
    </row>
    <row r="23" spans="2:11" ht="14.25" customHeight="1" x14ac:dyDescent="0.25">
      <c r="B23" s="161">
        <f t="shared" si="1"/>
        <v>12091</v>
      </c>
      <c r="C23" s="161">
        <f>IF('BP CORRECTION  '!$H$9&lt;$K$5,'TAUX NEUTRE  JANVIER '!C23,'TAUX NEUTRE MAI '!C23)</f>
        <v>16376</v>
      </c>
      <c r="D23" s="99">
        <f>IF('BP CORRECTION  '!$H$9&gt;='TAUX NEUTRE '!$K$5,'TAUX NEUTRE MAI '!D23,'TAUX NEUTRE  JANVIER '!D23)</f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16376</v>
      </c>
      <c r="C24" s="161">
        <f>IF('BP CORRECTION  '!$H$9&lt;$K$5,'TAUX NEUTRE  JANVIER '!C24,'TAUX NEUTRE MAI '!C24)</f>
        <v>25706</v>
      </c>
      <c r="D24" s="99">
        <f>IF('BP CORRECTION  '!$H$9&gt;='TAUX NEUTRE '!$K$5,'TAUX NEUTRE MAI '!D24,'TAUX NEUTRE  JANVIER '!D24)</f>
        <v>0.33</v>
      </c>
      <c r="E24" s="99">
        <f t="shared" si="0"/>
        <v>0</v>
      </c>
    </row>
    <row r="25" spans="2:11" ht="14.25" customHeight="1" x14ac:dyDescent="0.25">
      <c r="B25" s="161">
        <f t="shared" si="1"/>
        <v>25706</v>
      </c>
      <c r="C25" s="161">
        <f>IF('BP CORRECTION  '!$H$9&lt;$K$5,'TAUX NEUTRE  JANVIER '!C25,'TAUX NEUTRE MAI '!C25)</f>
        <v>55062</v>
      </c>
      <c r="D25" s="99">
        <f>IF('BP CORRECTION  '!$H$9&gt;='TAUX NEUTRE '!$K$5,'TAUX NEUTRE MAI '!D25,'TAUX NEUTRE  JANVIER '!D25)</f>
        <v>0.38</v>
      </c>
      <c r="E25" s="99">
        <f t="shared" si="0"/>
        <v>0</v>
      </c>
    </row>
    <row r="26" spans="2:11" ht="14.25" customHeight="1" x14ac:dyDescent="0.25">
      <c r="B26" s="161">
        <f t="shared" si="1"/>
        <v>55062</v>
      </c>
      <c r="C26" s="161">
        <f>IF('BP CORRECTION  '!$H$9&lt;$K$5,'TAUX NEUTRE  JANVIER '!C26,'TAUX NEUTRE MAI '!C26)</f>
        <v>0</v>
      </c>
      <c r="D26" s="99">
        <f>IF('BP CORRECTION  '!$H$9&gt;='TAUX NEUTRE '!$K$5,'TAUX NEUTRE MAI '!D26,'TAUX NEUTRE  JANVIER '!D26)</f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67"/>
      <c r="K29" s="667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297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J6" s="138"/>
      <c r="K6" s="160"/>
    </row>
    <row r="7" spans="2:11" ht="14.25" customHeight="1" x14ac:dyDescent="0.25">
      <c r="B7" s="161">
        <v>0</v>
      </c>
      <c r="C7" s="161">
        <v>1591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1591</v>
      </c>
      <c r="C8" s="161">
        <v>1653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1653</v>
      </c>
      <c r="C9" s="161">
        <v>1759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1759</v>
      </c>
      <c r="C10" s="161">
        <v>1877</v>
      </c>
      <c r="D10" s="99">
        <v>2.1000000000000001E-2</v>
      </c>
      <c r="E10" s="99">
        <f t="shared" si="0"/>
        <v>0</v>
      </c>
      <c r="G10" s="735" t="s">
        <v>294</v>
      </c>
      <c r="H10" s="735"/>
    </row>
    <row r="11" spans="2:11" ht="14.25" customHeight="1" x14ac:dyDescent="0.25">
      <c r="B11" s="161">
        <f t="shared" si="1"/>
        <v>1877</v>
      </c>
      <c r="C11" s="161">
        <v>2006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3313.4327759999996</v>
      </c>
    </row>
    <row r="12" spans="2:11" ht="14.25" customHeight="1" x14ac:dyDescent="0.25">
      <c r="B12" s="161">
        <f t="shared" si="1"/>
        <v>2006</v>
      </c>
      <c r="C12" s="161">
        <v>2113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9.9000000000000005E-2</v>
      </c>
    </row>
    <row r="13" spans="2:11" ht="14.25" customHeight="1" x14ac:dyDescent="0.25">
      <c r="B13" s="161">
        <f t="shared" si="1"/>
        <v>2113</v>
      </c>
      <c r="C13" s="161">
        <v>2253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2253</v>
      </c>
      <c r="C14" s="161">
        <v>2666</v>
      </c>
      <c r="D14" s="99">
        <v>5.2999999999999999E-2</v>
      </c>
      <c r="E14" s="99">
        <f t="shared" si="0"/>
        <v>0</v>
      </c>
    </row>
    <row r="15" spans="2:11" ht="14.25" customHeight="1" x14ac:dyDescent="0.25">
      <c r="B15" s="161">
        <f t="shared" si="1"/>
        <v>2666</v>
      </c>
      <c r="C15" s="161">
        <v>3052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3052</v>
      </c>
      <c r="C16" s="161">
        <v>3476</v>
      </c>
      <c r="D16" s="99">
        <v>9.9000000000000005E-2</v>
      </c>
      <c r="E16" s="99">
        <f t="shared" si="0"/>
        <v>9.9000000000000005E-2</v>
      </c>
    </row>
    <row r="17" spans="2:11" ht="14.25" customHeight="1" x14ac:dyDescent="0.25">
      <c r="B17" s="161">
        <f t="shared" si="1"/>
        <v>3476</v>
      </c>
      <c r="C17" s="161">
        <v>3913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3913</v>
      </c>
      <c r="C18" s="161">
        <v>4566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4566</v>
      </c>
      <c r="C19" s="161">
        <v>5475</v>
      </c>
      <c r="D19" s="99">
        <v>0.158</v>
      </c>
      <c r="E19" s="99">
        <f t="shared" si="0"/>
        <v>0</v>
      </c>
    </row>
    <row r="20" spans="2:11" ht="14.25" customHeight="1" x14ac:dyDescent="0.25">
      <c r="B20" s="161">
        <f t="shared" si="1"/>
        <v>5475</v>
      </c>
      <c r="C20" s="161">
        <v>6851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6851</v>
      </c>
      <c r="C21" s="161">
        <v>8557</v>
      </c>
      <c r="D21" s="99">
        <v>0.2</v>
      </c>
      <c r="E21" s="99">
        <f t="shared" si="0"/>
        <v>0</v>
      </c>
    </row>
    <row r="22" spans="2:11" ht="14.25" customHeight="1" x14ac:dyDescent="0.25">
      <c r="B22" s="161">
        <f t="shared" si="1"/>
        <v>8557</v>
      </c>
      <c r="C22" s="161">
        <v>11877</v>
      </c>
      <c r="D22" s="99">
        <v>0.24</v>
      </c>
      <c r="E22" s="99">
        <f t="shared" si="0"/>
        <v>0</v>
      </c>
    </row>
    <row r="23" spans="2:11" ht="14.25" customHeight="1" x14ac:dyDescent="0.25">
      <c r="B23" s="161">
        <f t="shared" si="1"/>
        <v>11877</v>
      </c>
      <c r="C23" s="161">
        <v>16086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16086</v>
      </c>
      <c r="C24" s="161">
        <v>25251</v>
      </c>
      <c r="D24" s="99">
        <v>0.33</v>
      </c>
      <c r="E24" s="99">
        <f t="shared" si="0"/>
        <v>0</v>
      </c>
    </row>
    <row r="25" spans="2:11" ht="14.25" customHeight="1" x14ac:dyDescent="0.25">
      <c r="B25" s="161">
        <f t="shared" si="1"/>
        <v>25251</v>
      </c>
      <c r="C25" s="161">
        <v>54088</v>
      </c>
      <c r="D25" s="99">
        <v>0.38</v>
      </c>
      <c r="E25" s="99">
        <f t="shared" si="0"/>
        <v>0</v>
      </c>
    </row>
    <row r="26" spans="2:11" ht="14.25" customHeight="1" x14ac:dyDescent="0.25">
      <c r="B26" s="161">
        <f t="shared" si="1"/>
        <v>54088</v>
      </c>
      <c r="C26" s="161">
        <v>99999999999</v>
      </c>
      <c r="D26" s="99"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9.9000000000000005E-2</v>
      </c>
    </row>
    <row r="28" spans="2:11" ht="18" customHeight="1" x14ac:dyDescent="0.25"/>
    <row r="29" spans="2:11" ht="14.25" hidden="1" customHeight="1" x14ac:dyDescent="0.25">
      <c r="J29" s="667"/>
      <c r="K29" s="667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2026-02-05T14:41:12Z</dcterms:modified>
</cp:coreProperties>
</file>